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CRONO MORADIAS 08-08-07" sheetId="3" state="hidden" r:id="rId3"/>
    <sheet name="CRON" sheetId="4" r:id="rId4"/>
    <sheet name="ORÇAMENTO" sheetId="5" r:id="rId5"/>
  </sheets>
  <externalReferences>
    <externalReference r:id="rId8"/>
  </externalReferences>
  <definedNames>
    <definedName name="_xlnm.Print_Area" localSheetId="3">'CRON'!$A$2:$N$44</definedName>
    <definedName name="_xlnm.Print_Area" localSheetId="2">'CRONO MORADIAS 08-08-07'!$A$1:$P$36</definedName>
    <definedName name="_xlnm.Print_Area" localSheetId="4">'ORÇAMENTO'!$A$2:$H$76</definedName>
    <definedName name="_xlnm.Print_Area" localSheetId="0">'P. BDI'!$A$2:$F$50</definedName>
    <definedName name="_xlnm.Print_Area" localSheetId="1">'QCI'!$A$2:$H$49</definedName>
    <definedName name="CONCATENAR">CONCATENATE(#REF!," ",#REF!)</definedName>
    <definedName name="DATAEMISSAO">#REF!</definedName>
    <definedName name="DATART">#REF!</definedName>
    <definedName name="EMPRESAS">OFFSET('[1]Cotações'!$B$25,1,0):OFFSET('[1]Cotações'!$H$41,-1,0)</definedName>
    <definedName name="INDICES">OFFSET('[1]Cotações'!$B$20,1,0):OFFSET('[1]Cotações'!$I$24,-1,0)</definedName>
    <definedName name="LOCALIDADE">#REF!</definedName>
    <definedName name="NCOMPOSICOES">15</definedName>
    <definedName name="NCOTACOES">15</definedName>
    <definedName name="NEMPRESAS">15</definedName>
    <definedName name="NINDICES">3</definedName>
    <definedName name="NRELATORIOS">COUNTA('[1]Relatórios'!$A:$A)-2</definedName>
    <definedName name="NumerEmpresa">15</definedName>
    <definedName name="NumerIndice">3</definedName>
    <definedName name="Objeto">"Referência"</definedName>
    <definedName name="RelatoriosFontes">OFFSET('[1]Relatórios'!$A$5,1,0,NRELATORIOS)</definedName>
    <definedName name="SENHAGT" hidden="1">"PM2CAIXA"</definedName>
  </definedNames>
  <calcPr fullCalcOnLoad="1"/>
</workbook>
</file>

<file path=xl/sharedStrings.xml><?xml version="1.0" encoding="utf-8"?>
<sst xmlns="http://schemas.openxmlformats.org/spreadsheetml/2006/main" count="309" uniqueCount="215">
  <si>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</si>
  <si>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</si>
  <si>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</si>
  <si>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</si>
  <si>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</si>
  <si>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</si>
  <si>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</si>
  <si>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</si>
  <si>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</si>
  <si>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</si>
  <si>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</si>
  <si>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</si>
  <si>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</si>
  <si>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</si>
  <si>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</si>
  <si>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</si>
  <si>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</si>
  <si>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</si>
  <si>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</si>
  <si>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</si>
  <si>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</si>
  <si>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</si>
  <si>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</si>
  <si>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</si>
  <si>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</si>
  <si>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</si>
  <si>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</si>
  <si>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</si>
  <si>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</si>
  <si>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</si>
  <si>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</si>
  <si>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</si>
  <si>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</si>
  <si>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</si>
  <si>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</si>
  <si>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</si>
  <si>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</si>
  <si>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</si>
  <si>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</si>
  <si>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</si>
  <si>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</si>
  <si>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</si>
  <si>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</si>
  <si>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</si>
  <si>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</si>
  <si>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</si>
  <si>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</si>
  <si>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</si>
  <si>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</si>
  <si>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</si>
  <si>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</si>
  <si>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</si>
  <si>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</si>
  <si>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</si>
  <si>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</si>
  <si>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</si>
  <si>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</si>
  <si>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</si>
  <si>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</si>
  <si>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</si>
  <si>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</si>
  <si>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</si>
  <si>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</si>
  <si>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</si>
  <si>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</si>
  <si>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</si>
  <si>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</si>
  <si>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</si>
  <si>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</si>
  <si>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</si>
  <si>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</si>
  <si>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</si>
  <si>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</si>
  <si>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</si>
  <si>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</si>
  <si>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</si>
  <si>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</si>
  <si>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</si>
  <si>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</si>
  <si>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</si>
  <si>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</si>
  <si>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</si>
  <si>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</si>
  <si>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</si>
  <si>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</si>
  <si>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</si>
  <si>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</si>
  <si>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</si>
  <si>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</si>
  <si>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</si>
  <si>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</si>
  <si>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</si>
  <si>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</si>
  <si>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</si>
  <si>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</si>
  <si>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</si>
  <si>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</si>
  <si>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</si>
  <si>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</si>
  <si>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</si>
  <si>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</si>
  <si>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</si>
  <si>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</si>
  <si>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</si>
  <si>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</si>
  <si>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</si>
  <si>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</si>
  <si>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</si>
  <si>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</si>
  <si>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</si>
  <si>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</si>
  <si>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</si>
  <si>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</si>
  <si>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</si>
  <si>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</si>
  <si>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</si>
  <si>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</si>
  <si>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</si>
  <si>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</si>
  <si>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</si>
  <si>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1.1</t>
  </si>
  <si>
    <t>1.2</t>
  </si>
  <si>
    <t>2.1</t>
  </si>
  <si>
    <t>M3</t>
  </si>
  <si>
    <t>2.2</t>
  </si>
  <si>
    <t>3.2</t>
  </si>
  <si>
    <t>3.3</t>
  </si>
  <si>
    <t>4.1</t>
  </si>
  <si>
    <t>4.2</t>
  </si>
  <si>
    <t>UN</t>
  </si>
  <si>
    <t>4.3</t>
  </si>
  <si>
    <t>M</t>
  </si>
  <si>
    <t>SERVIÇOS PRELIMINARES</t>
  </si>
  <si>
    <t>.</t>
  </si>
  <si>
    <t>3.1</t>
  </si>
  <si>
    <t>3.4</t>
  </si>
  <si>
    <t>4.4</t>
  </si>
  <si>
    <t>KG</t>
  </si>
  <si>
    <t>74209/1</t>
  </si>
  <si>
    <t>PLACA DE OBRA EM CHAPA DE ACO GALVANIZADO</t>
  </si>
  <si>
    <t>H</t>
  </si>
  <si>
    <t>74238/2</t>
  </si>
  <si>
    <t>PORTAO EM TELA ARAME GALVANIZADO N.12 MALHA 2" E MOLDURA EM TUBOS DE ACO COM DUAS FOLHAS DE ABRIR, INCLUSO FERRAGENS</t>
  </si>
  <si>
    <t>FABRICAÇÃO, MONTAGEM E DESMONTAGEM DE FÔRMA PARA VIGA BALDRAME, EM MADEIRA SERRADA, E=25 MM, 4 UTILIZAÇÕES. AF_06/2017</t>
  </si>
  <si>
    <t>CONCRETO FCK = 20MPA, TRAÇO 1:2,7:3 (CIMENTO/ AREIA MÉDIA/ BRITA 1)  - PREPARO MECÂNICO COM BETONEIRA 600 L. AF_07/2016</t>
  </si>
  <si>
    <t>ESCAVAÇÃO MANUAL DE VALA PARA VIGA BALDRAME, SEM PREVISÃO DE FÔRMA. AF_06/2017</t>
  </si>
  <si>
    <t>REATERRO MANUAL APILOADO COM SOQUETE. AF_10/2017</t>
  </si>
  <si>
    <t>LASTRO COM PREPARO DE FUNDO, LARGURA MAIOR OU IGUAL A 1,5 M, COM CAMADA DE BRITA, LANÇAMENTO MANUAL, EM LOCAL COM NÍVEL BAIXO DE INTERFERÊNCIA. AF_06/2016</t>
  </si>
  <si>
    <t>REGULARIZACAO E COMPACTACAO DE SUBLEITO ATE 20 CM DE ESPESSURA</t>
  </si>
  <si>
    <t>LOCACAO CONVENCIONAL DE OBRA, ATRAVÉS DE GABARITO DE TABUAS CORRIDAS PONTALETADAS, COM REAPROVEITAMENTO DE 3 VEZES.</t>
  </si>
  <si>
    <t>SERVENTE COM ENCARGOS COMPLEMENTARES</t>
  </si>
  <si>
    <t>3.5</t>
  </si>
  <si>
    <t>3.6</t>
  </si>
  <si>
    <t>3.7</t>
  </si>
  <si>
    <t>3.8</t>
  </si>
  <si>
    <t>4.5</t>
  </si>
  <si>
    <t>4.6</t>
  </si>
  <si>
    <t>4.8</t>
  </si>
  <si>
    <t>Area:</t>
  </si>
  <si>
    <t>ARQUIBANCADA</t>
  </si>
  <si>
    <t>CALÇADAS</t>
  </si>
  <si>
    <t>FECHAMENTO</t>
  </si>
  <si>
    <t>VIGA CONFINAMENTO</t>
  </si>
  <si>
    <t>TELA DE ARAME GALVANIZADO, FIO 14 BWG E MALHA QUADRADA/LOSANGULAR 8X8CM. INSTALADO.</t>
  </si>
  <si>
    <t>4.9</t>
  </si>
  <si>
    <t>COMP.1</t>
  </si>
  <si>
    <t>COMP.2</t>
  </si>
  <si>
    <t>QUADRA DE AREIA - LAGO DA PAZ</t>
  </si>
  <si>
    <t xml:space="preserve">UN    </t>
  </si>
  <si>
    <t>4.11</t>
  </si>
  <si>
    <t>2.3</t>
  </si>
  <si>
    <t>COMP.3</t>
  </si>
  <si>
    <t xml:space="preserve">LUMINARIA LED REFLETOR RETANGULAR BIVOLT, LUZ BRANCA, 50 W, COM SUPORTE E ALÇA - FORNECIMENTO E INSTALAÇÃO.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</si>
  <si>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SERVIÇO DE INSTALAÇÃO DE POSTE CONCRETO, INCLUSIVE ESCAVAÇÃO E CONCRETAGEM. NÃO INCLUSO O POSTE.</t>
  </si>
  <si>
    <t>(COMPOSIÇÃO REPRESENTATIVA) EXECUÇÃO DE ESTRUTURAS DE CONCRETO ARMADO, FCK = 25 MPA. AF_01/2017</t>
  </si>
  <si>
    <t>EXECUÇÃO DE PASSEIO (CALÇADA) OU PISO DE CONCRETO COM CONCRETO MOLDADO IN LOCO, FEITO EM OBRA, ACABAMENTO CONVENCIONAL, NÃO ARMADO, ESPESSURA DE 6 CM. AF_07/2016</t>
  </si>
  <si>
    <t>EXECUÇÃO DE PASSEIO (CALÇADA) OU PISO DE CONCRETO COM CONCRETO MOLDADO IN LOCO, FEITO EM OBRA, ACABAMENTO CONVENCIONAL, NÃO ARMADO, ESPESSURA DE 5 CM. AF_07/2016</t>
  </si>
  <si>
    <t>ESTACA BROCA DE CONCRETO, DIÂMETRO DE 20 CM, PROFUNDIDADE DE ATÉ 3 M, ESCAVAÇÃO MANUAL COM TRADO CONCHA, NÃO ARMADA. AF_03/2018</t>
  </si>
  <si>
    <t>4.7</t>
  </si>
  <si>
    <t>4.10</t>
  </si>
  <si>
    <t>74077/3*</t>
  </si>
  <si>
    <t>ALVENARIA DE VEDAÇÃO DE BLOCOS VAZADOS DE CONCRETO DE 14X19X39CM (ESPESSURA 14CM) DE PAREDES COM ÁREA LÍQUIDA MAIOR OU IGUAL A 6M² SEM VÃOS E ARGAMASSA DE ASSENTAMENTO COM PREPARO EM BETONEIRA. AF_06/2014</t>
  </si>
  <si>
    <t>CHAPISCO APLICADO EM ALVENARIAS E ESTRUTURAS DE CONCRETO INTERNAS, COM COLHER DE PEDREIRO.  ARGAMASSA TRAÇO 1:3 COM PREPARO EM BETONEIRA 400L. AF_06/2014</t>
  </si>
  <si>
    <t>(COMPOSIÇÃO REPRESENTATIVA) DO SERVIÇO DE EMBOÇO/MASSA ÚNICA, APLICADO MANUALMENTE, TRAÇO 1:2:8, EM BETONEIRA DE 400L, COM EXECUÇÃO DE TALISCAS. AF_12/2014</t>
  </si>
  <si>
    <t>POSTE DE CONCRETO DUPLO T, TIPO D, 200 KG, H = 9 M (NBR 8451)</t>
  </si>
  <si>
    <t>SINAPI 01/2019 DESONERADO</t>
  </si>
  <si>
    <t>3.9</t>
  </si>
  <si>
    <t>FERRO CABELO PARA AMARRAÇÃO DA ALVENARIA - CORTE E DOBRA DE AÇO CA-60, DIÂMETRO DE 4,2 MM. AF_12/2015</t>
  </si>
  <si>
    <t>ELETRODUTO FLEXÍVEL CORRUGADO, PVC, DN 25 MM (3/4"), PARA CIRCUITOS TERMINAIS - FORNECIMENTO E INSTALAÇÃO. AF_12/2015</t>
  </si>
  <si>
    <t xml:space="preserve">M3    </t>
  </si>
  <si>
    <t>4.12</t>
  </si>
  <si>
    <t>4.13</t>
  </si>
  <si>
    <t>TRANSPORTE COM CAMINHÃO BASCULANTE DE 6 M3, EM VIA URBANA PAVIMENTADA, DMT ATÉ 30 KM (UNIDADE: M3XKM). AF_01/2018</t>
  </si>
  <si>
    <t>M3XKM</t>
  </si>
  <si>
    <t>AREIA FINA (SEM TRANSPORTE).</t>
  </si>
  <si>
    <t>QUADRA DE AREIA</t>
  </si>
  <si>
    <t>4.14</t>
  </si>
  <si>
    <t>CAIXA DE PASSAGEM 30X30X40 COM TAMPA E DRENO BRITA, PRÉ-MOLDADA.</t>
  </si>
  <si>
    <t>4.15</t>
  </si>
  <si>
    <t>4.16</t>
  </si>
  <si>
    <t>AREIA E ESPALHAMENTO NA QUADRA</t>
  </si>
  <si>
    <t>INSTALAÇÕES ELÉTRICAS</t>
  </si>
  <si>
    <t>ELETRODUTO RÍGIDO ROSCÁVEL, PVC, DN 20 MM (1/2"), PARA CIRCUITOS TERMINAIS - FORNECIMENTO E INSTALAÇÃO. AF_12/2015</t>
  </si>
  <si>
    <t>QUADRO DE DISTRIBUICAO DE ENERGIA P/ 6 DISJUNTORES TERMOMAGNETICOS MONOPOLARES SEM BARRAMENTO, DE EMBUTIR, EM CHAPA METALICA - FORNECIMENTO E INSTALACAO</t>
  </si>
  <si>
    <t>74106/1</t>
  </si>
  <si>
    <t>IMPERMEABILIZACAO DE ESTRUTURAS ENTERRADAS, COM TINTA ASFALTICA, DUAS DEMAOS.</t>
  </si>
  <si>
    <t>3.10</t>
  </si>
  <si>
    <t>PINTURA</t>
  </si>
  <si>
    <t>5.1</t>
  </si>
  <si>
    <t>5.2</t>
  </si>
  <si>
    <t>APLICAÇÃO DE FUNDO SELADOR ACRÍLICO, UMA DEMÃO. AF_06/2014</t>
  </si>
  <si>
    <t>APLICAÇÃO MANUAL DE PINTURA COM TINTA LÁTEX ACRÍLICA, DUAS DEMÃOS. AF_06/2014</t>
  </si>
  <si>
    <t>preencher</t>
  </si>
  <si>
    <t>Rua Padre Anchieta, 891</t>
  </si>
  <si>
    <t>TP-015/2019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</si>
</sst>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00%"/>
    <numFmt numFmtId="177" formatCode="0.0000%"/>
    <numFmt numFmtId="178" formatCode="0.00000%"/>
    <numFmt numFmtId="179" formatCode="###,###,##0.000"/>
    <numFmt numFmtId="180" formatCode="###,###,##0.0000"/>
    <numFmt numFmtId="181" formatCode="###,###,##0.00000"/>
    <numFmt numFmtId="182" formatCode="###,###,##0.000000"/>
    <numFmt numFmtId="183" formatCode="###,###,##0.0"/>
    <numFmt numFmtId="184" formatCode="###,###,##0.0000000"/>
    <numFmt numFmtId="185" formatCode="###,###,##0.00000000"/>
    <numFmt numFmtId="186" formatCode="0.000000%"/>
    <numFmt numFmtId="187" formatCode="0.0000000%"/>
    <numFmt numFmtId="188" formatCode="0.00000000%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&quot;R$&quot;\ #,##0.00"/>
    <numFmt numFmtId="195" formatCode="0.0"/>
    <numFmt numFmtId="196" formatCode="#,##0.0"/>
    <numFmt numFmtId="197" formatCode="#,##0.000"/>
    <numFmt numFmtId="198" formatCode="#,##0.0000"/>
  </numFmts>
  <fonts count="6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3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3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3" applyNumberFormat="1" applyFont="1" applyFill="1" applyBorder="1" applyAlignment="1">
      <alignment horizontal="left"/>
    </xf>
    <xf numFmtId="10" fontId="7" fillId="0" borderId="10" xfId="53" applyNumberFormat="1" applyFont="1" applyFill="1" applyBorder="1" applyAlignment="1">
      <alignment horizontal="left"/>
    </xf>
    <xf numFmtId="10" fontId="7" fillId="0" borderId="10" xfId="53" applyNumberFormat="1" applyFont="1" applyBorder="1" applyAlignment="1">
      <alignment horizontal="left"/>
    </xf>
    <xf numFmtId="10" fontId="7" fillId="0" borderId="17" xfId="53" applyNumberFormat="1" applyFont="1" applyBorder="1" applyAlignment="1">
      <alignment horizontal="left"/>
    </xf>
    <xf numFmtId="10" fontId="7" fillId="0" borderId="17" xfId="53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3" applyNumberFormat="1" applyFont="1" applyFill="1" applyBorder="1" applyAlignment="1">
      <alignment horizontal="left"/>
    </xf>
    <xf numFmtId="10" fontId="7" fillId="33" borderId="17" xfId="53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3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3" applyNumberFormat="1" applyFont="1" applyFill="1" applyBorder="1" applyAlignment="1">
      <alignment horizontal="left"/>
    </xf>
    <xf numFmtId="10" fontId="6" fillId="33" borderId="20" xfId="53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3" applyNumberFormat="1" applyFont="1" applyFill="1" applyBorder="1" applyAlignment="1">
      <alignment/>
    </xf>
    <xf numFmtId="10" fontId="7" fillId="35" borderId="17" xfId="53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6" borderId="24" xfId="53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14" fillId="38" borderId="44" xfId="0" applyNumberFormat="1" applyFont="1" applyFill="1" applyBorder="1" applyAlignment="1" applyProtection="1">
      <alignment horizontal="center" vertical="center"/>
      <protection locked="0"/>
    </xf>
    <xf numFmtId="10" fontId="10" fillId="36" borderId="45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36" borderId="24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/>
      <protection/>
    </xf>
    <xf numFmtId="10" fontId="4" fillId="0" borderId="43" xfId="53" applyNumberFormat="1" applyFont="1" applyFill="1" applyBorder="1" applyAlignment="1" applyProtection="1">
      <alignment horizontal="center"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170" fontId="4" fillId="0" borderId="37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10" fontId="4" fillId="0" borderId="49" xfId="53" applyNumberFormat="1" applyFont="1" applyFill="1" applyBorder="1" applyAlignment="1" applyProtection="1">
      <alignment horizontal="center"/>
      <protection/>
    </xf>
    <xf numFmtId="10" fontId="4" fillId="0" borderId="24" xfId="53" applyNumberFormat="1" applyFont="1" applyFill="1" applyBorder="1" applyAlignment="1" applyProtection="1">
      <alignment horizontal="center"/>
      <protection/>
    </xf>
    <xf numFmtId="10" fontId="4" fillId="0" borderId="37" xfId="53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0" fontId="4" fillId="0" borderId="32" xfId="53" applyNumberFormat="1" applyFont="1" applyFill="1" applyBorder="1" applyAlignment="1" applyProtection="1">
      <alignment horizontal="center"/>
      <protection/>
    </xf>
    <xf numFmtId="10" fontId="4" fillId="0" borderId="45" xfId="53" applyNumberFormat="1" applyFont="1" applyFill="1" applyBorder="1" applyAlignment="1" applyProtection="1">
      <alignment horizontal="center"/>
      <protection/>
    </xf>
    <xf numFmtId="10" fontId="4" fillId="0" borderId="35" xfId="53" applyNumberFormat="1" applyFont="1" applyFill="1" applyBorder="1" applyAlignment="1" applyProtection="1">
      <alignment horizontal="center"/>
      <protection/>
    </xf>
    <xf numFmtId="10" fontId="4" fillId="0" borderId="33" xfId="53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1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left"/>
      <protection/>
    </xf>
    <xf numFmtId="0" fontId="1" fillId="40" borderId="10" xfId="0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70" fontId="4" fillId="40" borderId="10" xfId="0" applyNumberFormat="1" applyFont="1" applyFill="1" applyBorder="1" applyAlignment="1" applyProtection="1">
      <alignment/>
      <protection/>
    </xf>
    <xf numFmtId="170" fontId="1" fillId="40" borderId="10" xfId="0" applyNumberFormat="1" applyFont="1" applyFill="1" applyBorder="1" applyAlignment="1" applyProtection="1">
      <alignment horizontal="right"/>
      <protection/>
    </xf>
    <xf numFmtId="170" fontId="1" fillId="40" borderId="10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/>
      <protection/>
    </xf>
    <xf numFmtId="170" fontId="4" fillId="0" borderId="24" xfId="0" applyNumberFormat="1" applyFont="1" applyFill="1" applyBorder="1" applyAlignment="1" applyProtection="1">
      <alignment horizontal="right"/>
      <protection/>
    </xf>
    <xf numFmtId="43" fontId="0" fillId="0" borderId="0" xfId="0" applyNumberFormat="1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43" fontId="61" fillId="0" borderId="0" xfId="0" applyNumberFormat="1" applyFont="1" applyAlignment="1" applyProtection="1">
      <alignment/>
      <protection/>
    </xf>
    <xf numFmtId="0" fontId="4" fillId="40" borderId="10" xfId="0" applyFont="1" applyFill="1" applyBorder="1" applyAlignment="1" applyProtection="1">
      <alignment horizontal="left"/>
      <protection/>
    </xf>
    <xf numFmtId="170" fontId="4" fillId="4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170" fontId="4" fillId="0" borderId="24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170" fontId="4" fillId="0" borderId="5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/>
      <protection/>
    </xf>
    <xf numFmtId="170" fontId="4" fillId="39" borderId="24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170" fontId="4" fillId="0" borderId="32" xfId="0" applyNumberFormat="1" applyFont="1" applyFill="1" applyBorder="1" applyAlignment="1" applyProtection="1">
      <alignment/>
      <protection/>
    </xf>
    <xf numFmtId="170" fontId="4" fillId="39" borderId="3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9" fontId="0" fillId="0" borderId="0" xfId="66" applyFont="1" applyAlignment="1" applyProtection="1">
      <alignment/>
      <protection/>
    </xf>
    <xf numFmtId="170" fontId="2" fillId="40" borderId="1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47" xfId="0" applyBorder="1" applyAlignment="1" applyProtection="1">
      <alignment horizontal="right" vertical="center"/>
      <protection/>
    </xf>
    <xf numFmtId="170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 horizontal="right"/>
      <protection locked="0"/>
    </xf>
    <xf numFmtId="4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170" fontId="4" fillId="0" borderId="24" xfId="0" applyNumberFormat="1" applyFont="1" applyFill="1" applyBorder="1" applyAlignment="1" applyProtection="1">
      <alignment/>
      <protection locked="0"/>
    </xf>
    <xf numFmtId="2" fontId="4" fillId="0" borderId="24" xfId="0" applyNumberFormat="1" applyFont="1" applyFill="1" applyBorder="1" applyAlignment="1" applyProtection="1">
      <alignment horizontal="right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6" xfId="0" applyNumberFormat="1" applyFont="1" applyFill="1" applyBorder="1" applyAlignment="1" applyProtection="1">
      <alignment horizontal="center" vertical="center"/>
      <protection locked="0"/>
    </xf>
    <xf numFmtId="1" fontId="2" fillId="36" borderId="53" xfId="0" applyNumberFormat="1" applyFont="1" applyFill="1" applyBorder="1" applyAlignment="1" applyProtection="1">
      <alignment horizontal="center" vertical="center"/>
      <protection locked="0"/>
    </xf>
    <xf numFmtId="1" fontId="2" fillId="36" borderId="54" xfId="0" applyNumberFormat="1" applyFont="1" applyFill="1" applyBorder="1" applyAlignment="1" applyProtection="1">
      <alignment horizontal="center" vertical="center"/>
      <protection locked="0"/>
    </xf>
    <xf numFmtId="1" fontId="2" fillId="36" borderId="46" xfId="0" applyNumberFormat="1" applyFont="1" applyFill="1" applyBorder="1" applyAlignment="1" applyProtection="1">
      <alignment horizontal="center" vertical="center"/>
      <protection/>
    </xf>
    <xf numFmtId="1" fontId="2" fillId="36" borderId="53" xfId="0" applyNumberFormat="1" applyFont="1" applyFill="1" applyBorder="1" applyAlignment="1" applyProtection="1">
      <alignment horizontal="center" vertical="center"/>
      <protection/>
    </xf>
    <xf numFmtId="1" fontId="2" fillId="36" borderId="54" xfId="0" applyNumberFormat="1" applyFont="1" applyFill="1" applyBorder="1" applyAlignment="1" applyProtection="1">
      <alignment horizontal="center" vertical="center"/>
      <protection/>
    </xf>
    <xf numFmtId="10" fontId="2" fillId="0" borderId="55" xfId="0" applyNumberFormat="1" applyFont="1" applyBorder="1" applyAlignment="1" applyProtection="1">
      <alignment horizontal="center"/>
      <protection/>
    </xf>
    <xf numFmtId="10" fontId="2" fillId="0" borderId="56" xfId="0" applyNumberFormat="1" applyFont="1" applyBorder="1" applyAlignment="1" applyProtection="1">
      <alignment horizontal="center"/>
      <protection/>
    </xf>
    <xf numFmtId="10" fontId="2" fillId="0" borderId="57" xfId="0" applyNumberFormat="1" applyFont="1" applyBorder="1" applyAlignment="1" applyProtection="1">
      <alignment horizontal="center"/>
      <protection/>
    </xf>
    <xf numFmtId="14" fontId="2" fillId="36" borderId="46" xfId="0" applyNumberFormat="1" applyFont="1" applyFill="1" applyBorder="1" applyAlignment="1" applyProtection="1">
      <alignment horizontal="center" vertical="center"/>
      <protection locked="0"/>
    </xf>
    <xf numFmtId="0" fontId="2" fillId="36" borderId="53" xfId="0" applyNumberFormat="1" applyFont="1" applyFill="1" applyBorder="1" applyAlignment="1" applyProtection="1">
      <alignment horizontal="center" vertical="center"/>
      <protection locked="0"/>
    </xf>
    <xf numFmtId="0" fontId="2" fillId="36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vertical="center"/>
      <protection/>
    </xf>
    <xf numFmtId="0" fontId="14" fillId="0" borderId="5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5" xfId="0" applyNumberFormat="1" applyFont="1" applyBorder="1" applyAlignment="1" applyProtection="1">
      <alignment horizontal="distributed" vertical="top"/>
      <protection/>
    </xf>
    <xf numFmtId="0" fontId="2" fillId="0" borderId="56" xfId="0" applyFont="1" applyBorder="1" applyAlignment="1" applyProtection="1">
      <alignment horizontal="distributed" vertical="top"/>
      <protection/>
    </xf>
    <xf numFmtId="0" fontId="2" fillId="0" borderId="57" xfId="0" applyFont="1" applyBorder="1" applyAlignment="1" applyProtection="1">
      <alignment horizontal="distributed" vertical="top"/>
      <protection/>
    </xf>
    <xf numFmtId="0" fontId="10" fillId="37" borderId="60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1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0" fontId="4" fillId="0" borderId="43" xfId="53" applyNumberFormat="1" applyFont="1" applyFill="1" applyBorder="1" applyAlignment="1" applyProtection="1">
      <alignment horizontal="center"/>
      <protection/>
    </xf>
    <xf numFmtId="170" fontId="4" fillId="0" borderId="46" xfId="0" applyNumberFormat="1" applyFont="1" applyFill="1" applyBorder="1" applyAlignment="1" applyProtection="1">
      <alignment horizontal="center"/>
      <protection/>
    </xf>
    <xf numFmtId="170" fontId="4" fillId="0" borderId="54" xfId="0" applyNumberFormat="1" applyFont="1" applyFill="1" applyBorder="1" applyAlignment="1" applyProtection="1">
      <alignment horizontal="center"/>
      <protection/>
    </xf>
    <xf numFmtId="170" fontId="4" fillId="0" borderId="62" xfId="0" applyNumberFormat="1" applyFont="1" applyFill="1" applyBorder="1" applyAlignment="1" applyProtection="1">
      <alignment horizontal="center"/>
      <protection/>
    </xf>
    <xf numFmtId="170" fontId="4" fillId="0" borderId="63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left" wrapText="1" indent="2"/>
      <protection/>
    </xf>
    <xf numFmtId="0" fontId="4" fillId="0" borderId="54" xfId="0" applyFont="1" applyBorder="1" applyAlignment="1" applyProtection="1">
      <alignment horizontal="left" wrapText="1" indent="2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2" fontId="2" fillId="36" borderId="37" xfId="0" applyNumberFormat="1" applyFont="1" applyFill="1" applyBorder="1" applyAlignment="1" applyProtection="1">
      <alignment horizontal="right" vertical="center"/>
      <protection/>
    </xf>
    <xf numFmtId="2" fontId="2" fillId="36" borderId="36" xfId="0" applyNumberFormat="1" applyFont="1" applyFill="1" applyBorder="1" applyAlignment="1" applyProtection="1">
      <alignment horizontal="right" vertical="center"/>
      <protection/>
    </xf>
    <xf numFmtId="194" fontId="2" fillId="36" borderId="37" xfId="0" applyNumberFormat="1" applyFont="1" applyFill="1" applyBorder="1" applyAlignment="1" applyProtection="1">
      <alignment horizontal="right" vertical="center"/>
      <protection/>
    </xf>
    <xf numFmtId="194" fontId="2" fillId="36" borderId="36" xfId="0" applyNumberFormat="1" applyFont="1" applyFill="1" applyBorder="1" applyAlignment="1" applyProtection="1">
      <alignment horizontal="right" vertical="center"/>
      <protection/>
    </xf>
    <xf numFmtId="0" fontId="4" fillId="0" borderId="62" xfId="0" applyFont="1" applyBorder="1" applyAlignment="1" applyProtection="1">
      <alignment horizontal="left" wrapText="1" indent="2"/>
      <protection/>
    </xf>
    <xf numFmtId="0" fontId="4" fillId="0" borderId="63" xfId="0" applyFont="1" applyBorder="1" applyAlignment="1" applyProtection="1">
      <alignment horizontal="left" wrapText="1" indent="2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0" borderId="64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32" xfId="0" applyNumberFormat="1" applyFont="1" applyFill="1" applyBorder="1" applyAlignment="1" applyProtection="1">
      <alignment horizontal="center"/>
      <protection/>
    </xf>
    <xf numFmtId="10" fontId="4" fillId="0" borderId="63" xfId="53" applyNumberFormat="1" applyFont="1" applyFill="1" applyBorder="1" applyAlignment="1" applyProtection="1">
      <alignment horizontal="center"/>
      <protection/>
    </xf>
    <xf numFmtId="10" fontId="4" fillId="0" borderId="35" xfId="53" applyNumberFormat="1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wrapText="1" indent="2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54" xfId="0" applyNumberFormat="1" applyFont="1" applyFill="1" applyBorder="1" applyAlignment="1" applyProtection="1">
      <alignment horizontal="right" vertical="center"/>
      <protection/>
    </xf>
    <xf numFmtId="168" fontId="2" fillId="36" borderId="46" xfId="45" applyFont="1" applyFill="1" applyBorder="1" applyAlignment="1" applyProtection="1">
      <alignment horizontal="right" vertical="center"/>
      <protection/>
    </xf>
    <xf numFmtId="168" fontId="2" fillId="36" borderId="54" xfId="45" applyFont="1" applyFill="1" applyBorder="1" applyAlignment="1" applyProtection="1">
      <alignment horizontal="right" vertical="center"/>
      <protection/>
    </xf>
    <xf numFmtId="0" fontId="1" fillId="40" borderId="10" xfId="0" applyFont="1" applyFill="1" applyBorder="1" applyAlignment="1" applyProtection="1">
      <alignment horizontal="right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88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U\02%20-%20PROJETOS%20POR%20ANO\A_PROJETOS%202018\0%20-%20DOCUMENTOS%20CAIXA\FEVEREIRO%202018\Refer&#234;ncia%200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3">
        <row r="20">
          <cell r="B20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SINAPI-I</v>
          </cell>
        </row>
        <row r="9">
          <cell r="A9" t="str">
            <v>SINAPI</v>
          </cell>
        </row>
        <row r="10">
          <cell r="A10" t="str">
            <v>SINAPI</v>
          </cell>
        </row>
        <row r="11">
          <cell r="A11" t="str">
            <v>SINAPI-I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tabSelected="1" view="pageBreakPreview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7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98" customWidth="1"/>
    <col min="20" max="20" width="9.140625" style="99" customWidth="1"/>
    <col min="21" max="16384" width="9.140625" style="83" customWidth="1"/>
  </cols>
  <sheetData>
    <row r="1" ht="35.25" customHeight="1">
      <c r="B1" s="97" t="s">
        <v>66</v>
      </c>
    </row>
    <row r="2" spans="2:20" s="100" customFormat="1" ht="32.25" customHeight="1">
      <c r="B2" s="225" t="s">
        <v>26</v>
      </c>
      <c r="C2" s="225"/>
      <c r="D2" s="225"/>
      <c r="E2" s="225"/>
      <c r="F2" s="225"/>
      <c r="S2" s="101"/>
      <c r="T2" s="102"/>
    </row>
    <row r="3" spans="2:20" s="59" customFormat="1" ht="12.75">
      <c r="B3" s="59" t="s">
        <v>62</v>
      </c>
      <c r="C3" s="229" t="s">
        <v>214</v>
      </c>
      <c r="D3" s="230"/>
      <c r="E3" s="230"/>
      <c r="F3" s="231"/>
      <c r="S3" s="103"/>
      <c r="T3" s="104"/>
    </row>
    <row r="4" spans="2:20" s="59" customFormat="1" ht="12.75">
      <c r="B4" s="59" t="s">
        <v>27</v>
      </c>
      <c r="C4" s="229" t="s">
        <v>63</v>
      </c>
      <c r="D4" s="230"/>
      <c r="E4" s="230"/>
      <c r="F4" s="231"/>
      <c r="S4" s="103"/>
      <c r="T4" s="104"/>
    </row>
    <row r="5" spans="2:20" s="59" customFormat="1" ht="12.75">
      <c r="B5" s="105" t="s">
        <v>28</v>
      </c>
      <c r="C5" s="229" t="s">
        <v>167</v>
      </c>
      <c r="D5" s="230"/>
      <c r="E5" s="230"/>
      <c r="F5" s="231"/>
      <c r="S5" s="103"/>
      <c r="T5" s="104"/>
    </row>
    <row r="6" spans="2:20" s="93" customFormat="1" ht="13.5" customHeight="1">
      <c r="B6" s="93" t="s">
        <v>67</v>
      </c>
      <c r="C6" s="229" t="s">
        <v>213</v>
      </c>
      <c r="D6" s="230"/>
      <c r="E6" s="230"/>
      <c r="F6" s="231"/>
      <c r="S6" s="106"/>
      <c r="T6" s="107"/>
    </row>
    <row r="7" spans="2:20" s="93" customFormat="1" ht="13.5" customHeight="1">
      <c r="B7" s="93" t="s">
        <v>69</v>
      </c>
      <c r="C7" s="226" t="s">
        <v>64</v>
      </c>
      <c r="D7" s="227"/>
      <c r="E7" s="227"/>
      <c r="F7" s="228"/>
      <c r="S7" s="106"/>
      <c r="T7" s="107"/>
    </row>
    <row r="8" spans="2:20" s="93" customFormat="1" ht="13.5" customHeight="1">
      <c r="B8" s="93" t="s">
        <v>65</v>
      </c>
      <c r="C8" s="226" t="s">
        <v>64</v>
      </c>
      <c r="D8" s="227"/>
      <c r="E8" s="227"/>
      <c r="F8" s="228"/>
      <c r="S8" s="106"/>
      <c r="T8" s="107"/>
    </row>
    <row r="9" spans="2:20" s="93" customFormat="1" ht="12.75">
      <c r="B9" s="93" t="s">
        <v>70</v>
      </c>
      <c r="C9" s="235" t="s">
        <v>185</v>
      </c>
      <c r="D9" s="236"/>
      <c r="E9" s="236"/>
      <c r="F9" s="237"/>
      <c r="S9" s="106"/>
      <c r="T9" s="107"/>
    </row>
    <row r="10" spans="3:20" s="93" customFormat="1" ht="12.75">
      <c r="C10" s="108"/>
      <c r="D10" s="109"/>
      <c r="E10" s="109"/>
      <c r="F10" s="109"/>
      <c r="S10" s="106"/>
      <c r="T10" s="107"/>
    </row>
    <row r="11" spans="2:20" s="93" customFormat="1" ht="24.75" customHeight="1">
      <c r="B11" s="56" t="s">
        <v>29</v>
      </c>
      <c r="C11" s="57">
        <v>1</v>
      </c>
      <c r="D11" s="58">
        <f>IF(C11&gt;0,IF(C11&lt;7,,"&lt;--- Insira valor entre 1 e 6"),"&lt;--- Insira valor entre 1 e 6")</f>
        <v>0</v>
      </c>
      <c r="E11" s="59"/>
      <c r="F11" s="60"/>
      <c r="S11" s="106"/>
      <c r="T11" s="107"/>
    </row>
    <row r="12" spans="2:20" s="93" customFormat="1" ht="12.75">
      <c r="B12" s="61" t="s">
        <v>30</v>
      </c>
      <c r="C12" s="53">
        <v>1</v>
      </c>
      <c r="D12" s="232" t="s">
        <v>31</v>
      </c>
      <c r="E12" s="233"/>
      <c r="F12" s="234"/>
      <c r="S12" s="106"/>
      <c r="T12" s="107"/>
    </row>
    <row r="13" spans="2:20" s="93" customFormat="1" ht="25.5">
      <c r="B13" s="61" t="s">
        <v>32</v>
      </c>
      <c r="C13" s="62">
        <v>2</v>
      </c>
      <c r="D13" s="54">
        <f>IF(D14&lt;&gt;0,0,"( X )")</f>
        <v>0</v>
      </c>
      <c r="E13" s="63" t="s">
        <v>33</v>
      </c>
      <c r="F13" s="64"/>
      <c r="S13" s="106"/>
      <c r="T13" s="107"/>
    </row>
    <row r="14" spans="2:20" s="93" customFormat="1" ht="51">
      <c r="B14" s="61" t="s">
        <v>34</v>
      </c>
      <c r="C14" s="62">
        <v>3</v>
      </c>
      <c r="D14" s="65" t="s">
        <v>82</v>
      </c>
      <c r="E14" s="66" t="s">
        <v>35</v>
      </c>
      <c r="F14" s="67"/>
      <c r="S14" s="106"/>
      <c r="T14" s="107"/>
    </row>
    <row r="15" spans="2:20" s="93" customFormat="1" ht="51">
      <c r="B15" s="61" t="s">
        <v>36</v>
      </c>
      <c r="C15" s="62">
        <v>4</v>
      </c>
      <c r="D15" s="243" t="s">
        <v>37</v>
      </c>
      <c r="E15" s="244"/>
      <c r="F15" s="245"/>
      <c r="S15" s="106"/>
      <c r="T15" s="107"/>
    </row>
    <row r="16" spans="2:20" s="93" customFormat="1" ht="25.5">
      <c r="B16" s="61" t="s">
        <v>38</v>
      </c>
      <c r="C16" s="62">
        <v>5</v>
      </c>
      <c r="D16" s="132">
        <f>IF(D17&lt;&gt;0,0,"( X )")</f>
        <v>0</v>
      </c>
      <c r="E16" s="63" t="s">
        <v>39</v>
      </c>
      <c r="F16" s="64"/>
      <c r="S16" s="106"/>
      <c r="T16" s="107"/>
    </row>
    <row r="17" spans="2:20" s="93" customFormat="1" ht="25.5">
      <c r="B17" s="61" t="s">
        <v>40</v>
      </c>
      <c r="C17" s="62">
        <v>6</v>
      </c>
      <c r="D17" s="133" t="s">
        <v>82</v>
      </c>
      <c r="E17" s="66" t="s">
        <v>41</v>
      </c>
      <c r="F17" s="67"/>
      <c r="S17" s="106"/>
      <c r="T17" s="107"/>
    </row>
    <row r="18" spans="2:20" s="93" customFormat="1" ht="12.75">
      <c r="B18" s="68"/>
      <c r="C18" s="59"/>
      <c r="D18" s="59"/>
      <c r="E18" s="59"/>
      <c r="F18" s="60"/>
      <c r="S18" s="106"/>
      <c r="T18" s="107"/>
    </row>
    <row r="19" spans="2:10" ht="15.75" customHeight="1">
      <c r="B19" s="69"/>
      <c r="C19" s="246" t="s">
        <v>42</v>
      </c>
      <c r="D19" s="246"/>
      <c r="E19" s="246"/>
      <c r="H19" s="110" t="s">
        <v>86</v>
      </c>
      <c r="I19" s="111" t="str">
        <f>F21</f>
        <v>preencher</v>
      </c>
      <c r="J19" s="110"/>
    </row>
    <row r="20" spans="2:20" s="112" customFormat="1" ht="31.5">
      <c r="B20" s="70" t="s">
        <v>43</v>
      </c>
      <c r="C20" s="71" t="s">
        <v>44</v>
      </c>
      <c r="D20" s="71" t="s">
        <v>45</v>
      </c>
      <c r="E20" s="71" t="s">
        <v>46</v>
      </c>
      <c r="F20" s="72" t="s">
        <v>47</v>
      </c>
      <c r="H20" s="113" t="s">
        <v>87</v>
      </c>
      <c r="I20" s="114" t="str">
        <f>F22</f>
        <v>preencher</v>
      </c>
      <c r="J20" s="113"/>
      <c r="S20" s="115"/>
      <c r="T20" s="116"/>
    </row>
    <row r="21" spans="2:19" ht="15.75">
      <c r="B21" s="73" t="s">
        <v>48</v>
      </c>
      <c r="C21" s="74">
        <v>0.03</v>
      </c>
      <c r="D21" s="75">
        <v>0.04</v>
      </c>
      <c r="E21" s="76">
        <v>0.055</v>
      </c>
      <c r="F21" s="95" t="s">
        <v>212</v>
      </c>
      <c r="G21" s="117" t="str">
        <f>IF(F21=0,"",IF(F21&lt;C21,"Atenção, observar os intervalos!",IF(F21&gt;E21,"Atenção, observar os intervalos!","")))</f>
        <v>Atenção, observar os intervalos!</v>
      </c>
      <c r="H21" s="110" t="s">
        <v>88</v>
      </c>
      <c r="I21" s="111" t="str">
        <f>I20</f>
        <v>preencher</v>
      </c>
      <c r="J21" s="110"/>
      <c r="R21" s="99"/>
      <c r="S21" s="99"/>
    </row>
    <row r="22" spans="2:19" ht="15.75">
      <c r="B22" s="73" t="s">
        <v>49</v>
      </c>
      <c r="C22" s="77">
        <v>0.008</v>
      </c>
      <c r="D22" s="78">
        <v>0.008</v>
      </c>
      <c r="E22" s="79">
        <v>0.01</v>
      </c>
      <c r="F22" s="95" t="s">
        <v>212</v>
      </c>
      <c r="G22" s="117" t="str">
        <f>IF(F22=0,"",IF(F22&lt;C22,"Atenção, observar os intervalos!",IF(F22&gt;E22,"Atenção, observar os intervalos!","")))</f>
        <v>Atenção, observar os intervalos!</v>
      </c>
      <c r="H22" s="110" t="s">
        <v>89</v>
      </c>
      <c r="I22" s="111" t="str">
        <f aca="true" t="shared" si="0" ref="I22:I27">F23</f>
        <v>preencher</v>
      </c>
      <c r="J22" s="110"/>
      <c r="R22" s="99"/>
      <c r="S22" s="99"/>
    </row>
    <row r="23" spans="2:19" ht="15.75">
      <c r="B23" s="73" t="s">
        <v>50</v>
      </c>
      <c r="C23" s="77">
        <v>0.0097</v>
      </c>
      <c r="D23" s="78">
        <v>0.0127</v>
      </c>
      <c r="E23" s="79">
        <v>0.0127</v>
      </c>
      <c r="F23" s="95" t="s">
        <v>212</v>
      </c>
      <c r="G23" s="117" t="str">
        <f>IF(F23=0,"",IF(F23&lt;C23,"Atenção, observar os intervalos!",IF(F23&gt;E23,"Atenção, observar os intervalos!","")))</f>
        <v>Atenção, observar os intervalos!</v>
      </c>
      <c r="H23" s="110" t="s">
        <v>90</v>
      </c>
      <c r="I23" s="111" t="str">
        <f t="shared" si="0"/>
        <v>preencher</v>
      </c>
      <c r="J23" s="118"/>
      <c r="R23" s="99"/>
      <c r="S23" s="99"/>
    </row>
    <row r="24" spans="2:19" ht="15.75">
      <c r="B24" s="73" t="s">
        <v>51</v>
      </c>
      <c r="C24" s="77">
        <v>0.0059</v>
      </c>
      <c r="D24" s="78">
        <v>0.0123</v>
      </c>
      <c r="E24" s="79">
        <v>0.0139</v>
      </c>
      <c r="F24" s="95" t="s">
        <v>212</v>
      </c>
      <c r="G24" s="117" t="str">
        <f>IF(F24=0,"",IF(F24&lt;C24,"Atenção, observar os intervalos!",IF(F24&gt;E24,"Atenção, observar os intervalos!","")))</f>
        <v>Atenção, observar os intervalos!</v>
      </c>
      <c r="H24" s="110" t="s">
        <v>91</v>
      </c>
      <c r="I24" s="111" t="str">
        <f t="shared" si="0"/>
        <v>preencher</v>
      </c>
      <c r="J24" s="118"/>
      <c r="R24" s="99"/>
      <c r="S24" s="99"/>
    </row>
    <row r="25" spans="2:19" ht="15.75">
      <c r="B25" s="73" t="s">
        <v>52</v>
      </c>
      <c r="C25" s="80">
        <v>0.0616</v>
      </c>
      <c r="D25" s="81">
        <v>0.074</v>
      </c>
      <c r="E25" s="82">
        <v>0.0896</v>
      </c>
      <c r="F25" s="95" t="s">
        <v>212</v>
      </c>
      <c r="G25" s="117" t="str">
        <f>IF(F25=0,"",IF(F25&lt;C25,"Atenção, observar os intervalos!",IF(F25&gt;E25,"Atenção, observar os intervalos!","")))</f>
        <v>Atenção, observar os intervalos!</v>
      </c>
      <c r="H25" s="110" t="s">
        <v>92</v>
      </c>
      <c r="I25" s="111" t="str">
        <f t="shared" si="0"/>
        <v>preencher</v>
      </c>
      <c r="J25" s="110"/>
      <c r="R25" s="99"/>
      <c r="S25" s="99"/>
    </row>
    <row r="26" spans="2:19" ht="15.75">
      <c r="B26" s="247" t="s">
        <v>53</v>
      </c>
      <c r="C26" s="248"/>
      <c r="D26" s="248"/>
      <c r="E26" s="249"/>
      <c r="F26" s="96" t="s">
        <v>212</v>
      </c>
      <c r="G26" s="117"/>
      <c r="H26" s="110" t="s">
        <v>93</v>
      </c>
      <c r="I26" s="111" t="str">
        <f t="shared" si="0"/>
        <v>preencher</v>
      </c>
      <c r="J26" s="110"/>
      <c r="R26" s="99"/>
      <c r="S26" s="99"/>
    </row>
    <row r="27" spans="2:19" ht="15.75">
      <c r="B27" s="250" t="s">
        <v>54</v>
      </c>
      <c r="C27" s="251"/>
      <c r="D27" s="251"/>
      <c r="E27" s="252"/>
      <c r="F27" s="96" t="s">
        <v>212</v>
      </c>
      <c r="G27" s="117"/>
      <c r="H27" s="110" t="s">
        <v>94</v>
      </c>
      <c r="I27" s="111">
        <f t="shared" si="0"/>
        <v>0.045</v>
      </c>
      <c r="J27" s="110"/>
      <c r="R27" s="99"/>
      <c r="S27" s="99"/>
    </row>
    <row r="28" spans="2:19" ht="16.5" thickBot="1">
      <c r="B28" s="253" t="s">
        <v>55</v>
      </c>
      <c r="C28" s="254"/>
      <c r="D28" s="254"/>
      <c r="E28" s="254"/>
      <c r="F28" s="55">
        <v>0.045</v>
      </c>
      <c r="G28" s="117"/>
      <c r="H28" s="110"/>
      <c r="I28" s="119"/>
      <c r="J28" s="119"/>
      <c r="K28" s="120"/>
      <c r="L28" s="121"/>
      <c r="M28" s="122"/>
      <c r="N28" s="122"/>
      <c r="O28" s="123"/>
      <c r="R28" s="99"/>
      <c r="S28" s="99"/>
    </row>
    <row r="29" spans="8:18" ht="12.75">
      <c r="H29" s="110"/>
      <c r="I29" s="119"/>
      <c r="J29" s="119"/>
      <c r="K29" s="120"/>
      <c r="L29" s="121"/>
      <c r="M29" s="121"/>
      <c r="N29" s="121"/>
      <c r="R29" s="98"/>
    </row>
    <row r="30" spans="2:19" ht="15.75">
      <c r="B30" s="255" t="s">
        <v>56</v>
      </c>
      <c r="C30" s="255"/>
      <c r="D30" s="255"/>
      <c r="E30" s="255"/>
      <c r="F30" s="84" t="e">
        <f>ROUND((((1+I19+I21+I22)*(1+I23)*(1+I24))/(1-I25-I26))-1,4)</f>
        <v>#VALUE!</v>
      </c>
      <c r="G30" s="124"/>
      <c r="H30" s="118" t="s">
        <v>83</v>
      </c>
      <c r="I30" s="118" t="s">
        <v>84</v>
      </c>
      <c r="J30" s="118" t="s">
        <v>85</v>
      </c>
      <c r="R30" s="99"/>
      <c r="S30" s="99"/>
    </row>
    <row r="31" spans="2:19" ht="16.5" thickBot="1">
      <c r="B31" s="238" t="s">
        <v>57</v>
      </c>
      <c r="C31" s="239"/>
      <c r="D31" s="239"/>
      <c r="E31" s="239"/>
      <c r="F31" s="85" t="e">
        <f>ROUND((((1+I19+I21+I22)*(1+I23)*(1+I24))/(1-I25-I26-I27))-1,4)</f>
        <v>#VALUE!</v>
      </c>
      <c r="G31" s="94"/>
      <c r="H31" s="118">
        <v>0.2034</v>
      </c>
      <c r="I31" s="118">
        <v>0.2212</v>
      </c>
      <c r="J31" s="118">
        <v>0.25</v>
      </c>
      <c r="R31" s="99"/>
      <c r="S31" s="99"/>
    </row>
    <row r="33" spans="2:6" ht="48" customHeight="1">
      <c r="B33" s="240" t="s">
        <v>58</v>
      </c>
      <c r="C33" s="240"/>
      <c r="D33" s="240"/>
      <c r="E33" s="240"/>
      <c r="F33" s="240"/>
    </row>
    <row r="35" spans="2:6" ht="12.75">
      <c r="B35" s="241" t="s">
        <v>59</v>
      </c>
      <c r="C35" s="241"/>
      <c r="D35" s="241"/>
      <c r="E35" s="241"/>
      <c r="F35" s="241"/>
    </row>
    <row r="36" spans="2:6" ht="12.75">
      <c r="B36" s="242" t="s">
        <v>60</v>
      </c>
      <c r="C36" s="242"/>
      <c r="D36" s="242"/>
      <c r="E36" s="242"/>
      <c r="F36" s="242"/>
    </row>
    <row r="37" ht="12.75" customHeight="1">
      <c r="F37" s="86"/>
    </row>
    <row r="38" ht="12.75" customHeight="1">
      <c r="F38" s="86"/>
    </row>
    <row r="39" ht="12.75" customHeight="1">
      <c r="F39" s="86"/>
    </row>
    <row r="40" ht="12.75">
      <c r="B40" s="100"/>
    </row>
    <row r="42" spans="2:4" ht="12.75">
      <c r="B42" s="125" t="s">
        <v>116</v>
      </c>
      <c r="C42" s="88" t="s">
        <v>133</v>
      </c>
      <c r="D42" s="126"/>
    </row>
    <row r="43" spans="2:4" ht="12.75">
      <c r="B43" s="127" t="s">
        <v>118</v>
      </c>
      <c r="C43" s="134" t="s">
        <v>133</v>
      </c>
      <c r="D43" s="128"/>
    </row>
    <row r="44" spans="2:4" ht="12.75">
      <c r="B44" s="129"/>
      <c r="C44" s="129"/>
      <c r="D44" s="129"/>
    </row>
    <row r="48" spans="2:4" ht="12.75">
      <c r="B48" s="130"/>
      <c r="C48" s="130"/>
      <c r="D48" s="130"/>
    </row>
    <row r="49" spans="2:4" ht="12.75">
      <c r="B49" s="125" t="s">
        <v>117</v>
      </c>
      <c r="C49" s="135" t="s">
        <v>133</v>
      </c>
      <c r="D49" s="131"/>
    </row>
    <row r="50" spans="2:4" ht="12.75">
      <c r="B50" s="127" t="s">
        <v>61</v>
      </c>
      <c r="C50" s="134" t="s">
        <v>133</v>
      </c>
      <c r="D50" s="128"/>
    </row>
  </sheetData>
  <sheetProtection password="C637" sheet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B12:C17">
    <cfRule type="expression" priority="11" dxfId="70" stopIfTrue="1">
      <formula>$C$11=0</formula>
    </cfRule>
    <cfRule type="expression" priority="12" dxfId="70" stopIfTrue="1">
      <formula>$C$11&gt;6</formula>
    </cfRule>
    <cfRule type="expression" priority="13" dxfId="79" stopIfTrue="1">
      <formula>$C12&lt;&gt;$C$11</formula>
    </cfRule>
  </conditionalFormatting>
  <conditionalFormatting sqref="E13">
    <cfRule type="expression" priority="10" dxfId="70" stopIfTrue="1">
      <formula>$D$14&lt;&gt;0</formula>
    </cfRule>
  </conditionalFormatting>
  <conditionalFormatting sqref="E14">
    <cfRule type="expression" priority="9" dxfId="75" stopIfTrue="1">
      <formula>$D$14&lt;&gt;0</formula>
    </cfRule>
  </conditionalFormatting>
  <conditionalFormatting sqref="E16 B30:F30">
    <cfRule type="expression" priority="8" dxfId="70" stopIfTrue="1">
      <formula>$D$17&lt;&gt;0</formula>
    </cfRule>
  </conditionalFormatting>
  <conditionalFormatting sqref="E17">
    <cfRule type="expression" priority="7" dxfId="75" stopIfTrue="1">
      <formula>$D$17&lt;&gt;0</formula>
    </cfRule>
  </conditionalFormatting>
  <conditionalFormatting sqref="B31:F31">
    <cfRule type="expression" priority="6" dxfId="82" stopIfTrue="1">
      <formula>$D$17&lt;&gt;0</formula>
    </cfRule>
  </conditionalFormatting>
  <conditionalFormatting sqref="B36:F36">
    <cfRule type="expression" priority="5" dxfId="70" stopIfTrue="1">
      <formula>$D$17&lt;&gt;0</formula>
    </cfRule>
  </conditionalFormatting>
  <conditionalFormatting sqref="F28">
    <cfRule type="expression" priority="4" dxfId="83" stopIfTrue="1">
      <formula>$D$17&lt;&gt;0</formula>
    </cfRule>
  </conditionalFormatting>
  <conditionalFormatting sqref="B28:E28">
    <cfRule type="expression" priority="3" dxfId="84" stopIfTrue="1">
      <formula>$D$17&lt;&gt;0</formula>
    </cfRule>
  </conditionalFormatting>
  <conditionalFormatting sqref="B35:F35">
    <cfRule type="expression" priority="2" dxfId="70" stopIfTrue="1">
      <formula>$D$17&lt;&gt;0</formula>
    </cfRule>
  </conditionalFormatting>
  <conditionalFormatting sqref="F21:F25">
    <cfRule type="cellIs" priority="1" dxfId="69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9.140625" style="136" customWidth="1"/>
    <col min="2" max="2" width="9.421875" style="136" customWidth="1"/>
    <col min="3" max="3" width="54.140625" style="136" customWidth="1"/>
    <col min="4" max="4" width="6.28125" style="136" customWidth="1"/>
    <col min="5" max="5" width="10.28125" style="136" customWidth="1"/>
    <col min="6" max="6" width="10.7109375" style="136" bestFit="1" customWidth="1"/>
    <col min="7" max="7" width="11.7109375" style="136" customWidth="1"/>
    <col min="8" max="8" width="13.140625" style="136" customWidth="1"/>
    <col min="9" max="9" width="9.140625" style="136" customWidth="1"/>
    <col min="10" max="10" width="13.28125" style="136" bestFit="1" customWidth="1"/>
    <col min="11" max="16384" width="9.140625" style="136" customWidth="1"/>
  </cols>
  <sheetData>
    <row r="1" ht="37.5" customHeight="1">
      <c r="A1" s="97" t="s">
        <v>66</v>
      </c>
    </row>
    <row r="2" spans="1:9" ht="12.75" customHeight="1">
      <c r="A2" s="256" t="s">
        <v>96</v>
      </c>
      <c r="B2" s="256"/>
      <c r="C2" s="256"/>
      <c r="D2" s="256"/>
      <c r="E2" s="256"/>
      <c r="F2" s="256"/>
      <c r="G2" s="256"/>
      <c r="H2" s="256"/>
      <c r="I2" s="137"/>
    </row>
    <row r="3" spans="1:8" ht="15" customHeight="1">
      <c r="A3" s="256"/>
      <c r="B3" s="256"/>
      <c r="C3" s="256"/>
      <c r="D3" s="256"/>
      <c r="E3" s="256"/>
      <c r="F3" s="256"/>
      <c r="G3" s="256"/>
      <c r="H3" s="256"/>
    </row>
    <row r="4" spans="1:8" ht="12.75" customHeight="1">
      <c r="A4" s="138"/>
      <c r="B4" s="138"/>
      <c r="C4" s="138"/>
      <c r="D4" s="138"/>
      <c r="E4" s="138"/>
      <c r="F4" s="138"/>
      <c r="G4" s="138"/>
      <c r="H4" s="138"/>
    </row>
    <row r="5" spans="1:8" ht="12.7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38"/>
      <c r="B6" s="138"/>
      <c r="C6" s="138"/>
      <c r="D6" s="138"/>
      <c r="E6" s="138"/>
      <c r="F6" s="138"/>
      <c r="G6" s="138"/>
      <c r="H6" s="138"/>
    </row>
    <row r="7" spans="1:8" ht="12.75" customHeight="1">
      <c r="A7" s="138"/>
      <c r="B7" s="138"/>
      <c r="C7" s="138"/>
      <c r="D7" s="138"/>
      <c r="E7" s="138"/>
      <c r="F7" s="138"/>
      <c r="G7" s="138"/>
      <c r="H7" s="138"/>
    </row>
    <row r="8" spans="1:7" ht="15.75" customHeight="1">
      <c r="A8" s="257" t="str">
        <f>'P. BDI'!B3</f>
        <v>Edital :</v>
      </c>
      <c r="B8" s="257"/>
      <c r="C8" s="140" t="str">
        <f>'P. BDI'!C3:F3</f>
        <v>TP-015/2019</v>
      </c>
      <c r="D8" s="139"/>
      <c r="E8" s="141"/>
      <c r="F8" s="141"/>
      <c r="G8" s="141"/>
    </row>
    <row r="9" spans="1:9" ht="12.75">
      <c r="A9" s="257" t="str">
        <f>'P. BDI'!B4</f>
        <v>Tomador: </v>
      </c>
      <c r="B9" s="257"/>
      <c r="C9" s="140" t="str">
        <f>'P. BDI'!C4:F4</f>
        <v>Prefeitura Municipal de Dois Vizinhos - PR</v>
      </c>
      <c r="D9" s="139"/>
      <c r="E9" s="141"/>
      <c r="F9" s="141"/>
      <c r="G9" s="141"/>
      <c r="I9" s="142"/>
    </row>
    <row r="10" spans="1:8" ht="12.75">
      <c r="A10" s="257" t="str">
        <f>'P. BDI'!B5</f>
        <v>Empreendimento: </v>
      </c>
      <c r="B10" s="257"/>
      <c r="C10" s="140" t="str">
        <f>'P. BDI'!C5:F5</f>
        <v>QUADRA DE AREIA - LAGO DA PAZ</v>
      </c>
      <c r="D10" s="139"/>
      <c r="E10" s="139"/>
      <c r="F10" s="143"/>
      <c r="G10" s="109"/>
      <c r="H10" s="141"/>
    </row>
    <row r="11" spans="1:8" ht="12.75">
      <c r="A11" s="257" t="str">
        <f>'P. BDI'!B6</f>
        <v>Local da Obra:</v>
      </c>
      <c r="B11" s="257"/>
      <c r="C11" s="140" t="str">
        <f>'P. BDI'!C6:F6</f>
        <v>Rua Padre Anchieta, 891</v>
      </c>
      <c r="D11" s="139"/>
      <c r="E11" s="139"/>
      <c r="F11" s="143"/>
      <c r="G11" s="109"/>
      <c r="H11" s="141"/>
    </row>
    <row r="12" spans="1:8" ht="12.75">
      <c r="A12" s="257" t="str">
        <f>'P. BDI'!B7</f>
        <v>Empresa Prop.:</v>
      </c>
      <c r="B12" s="257"/>
      <c r="C12" s="140" t="str">
        <f>'P. BDI'!C7:F7</f>
        <v>xxxxxxxxxxxxxx</v>
      </c>
      <c r="D12" s="139"/>
      <c r="E12" s="141"/>
      <c r="F12" s="141"/>
      <c r="G12" s="141"/>
      <c r="H12" s="141"/>
    </row>
    <row r="13" spans="1:8" ht="12.75">
      <c r="A13" s="257" t="str">
        <f>'P. BDI'!B8</f>
        <v>CNPJ:</v>
      </c>
      <c r="B13" s="257"/>
      <c r="C13" s="140" t="str">
        <f>'P. BDI'!C8:F8</f>
        <v>xxxxxxxxxxxxxx</v>
      </c>
      <c r="D13" s="139"/>
      <c r="E13" s="141"/>
      <c r="F13" s="141"/>
      <c r="G13" s="141"/>
      <c r="H13" s="141"/>
    </row>
    <row r="14" spans="1:8" ht="12.75">
      <c r="A14" s="257" t="str">
        <f>'P. BDI'!B9</f>
        <v>Data Base:</v>
      </c>
      <c r="B14" s="257"/>
      <c r="C14" s="144" t="str">
        <f>'P. BDI'!C9:F9</f>
        <v>SINAPI 01/2019 DESONERADO</v>
      </c>
      <c r="D14" s="139"/>
      <c r="E14" s="139"/>
      <c r="F14" s="143"/>
      <c r="G14" s="109"/>
      <c r="H14" s="109"/>
    </row>
    <row r="15" spans="1:8" ht="12.75">
      <c r="A15" s="257" t="s">
        <v>95</v>
      </c>
      <c r="B15" s="257"/>
      <c r="C15" s="87" t="e">
        <f>'P. BDI'!F31</f>
        <v>#VALUE!</v>
      </c>
      <c r="D15" s="139"/>
      <c r="E15" s="139"/>
      <c r="F15" s="143"/>
      <c r="G15" s="109"/>
      <c r="H15" s="109"/>
    </row>
    <row r="16" spans="1:8" ht="12.75">
      <c r="A16" s="145"/>
      <c r="B16" s="146"/>
      <c r="C16" s="147"/>
      <c r="D16" s="141"/>
      <c r="E16" s="141"/>
      <c r="F16" s="141"/>
      <c r="G16" s="141"/>
      <c r="H16" s="141"/>
    </row>
    <row r="17" spans="1:8" ht="12.75">
      <c r="A17" s="145"/>
      <c r="B17" s="146"/>
      <c r="C17" s="147"/>
      <c r="D17" s="141"/>
      <c r="E17" s="141"/>
      <c r="F17" s="141"/>
      <c r="G17" s="141"/>
      <c r="H17" s="141"/>
    </row>
    <row r="18" spans="1:8" ht="12.75">
      <c r="A18" s="145"/>
      <c r="B18" s="146"/>
      <c r="C18" s="147"/>
      <c r="D18" s="141"/>
      <c r="E18" s="141"/>
      <c r="F18" s="141"/>
      <c r="G18" s="141"/>
      <c r="H18" s="141"/>
    </row>
    <row r="19" spans="1:8" ht="12.75">
      <c r="A19" s="145"/>
      <c r="B19" s="146"/>
      <c r="C19" s="147"/>
      <c r="D19" s="141"/>
      <c r="E19" s="141"/>
      <c r="F19" s="141"/>
      <c r="G19" s="141"/>
      <c r="H19" s="141"/>
    </row>
    <row r="20" spans="1:8" ht="12.75">
      <c r="A20" s="145"/>
      <c r="B20" s="146"/>
      <c r="C20" s="147"/>
      <c r="D20" s="141"/>
      <c r="E20" s="141"/>
      <c r="F20" s="141"/>
      <c r="G20" s="141"/>
      <c r="H20" s="141"/>
    </row>
    <row r="21" spans="1:8" ht="12.75">
      <c r="A21" s="145"/>
      <c r="B21" s="146"/>
      <c r="C21" s="147"/>
      <c r="D21" s="141"/>
      <c r="E21" s="141"/>
      <c r="F21" s="141"/>
      <c r="G21" s="141"/>
      <c r="H21" s="141"/>
    </row>
    <row r="22" spans="1:8" ht="12.75">
      <c r="A22" s="145"/>
      <c r="B22" s="146"/>
      <c r="C22" s="147"/>
      <c r="D22" s="141"/>
      <c r="E22" s="141"/>
      <c r="F22" s="141"/>
      <c r="G22" s="141"/>
      <c r="H22" s="141"/>
    </row>
    <row r="23" spans="1:8" ht="12.75">
      <c r="A23" s="145"/>
      <c r="B23" s="146"/>
      <c r="C23" s="147"/>
      <c r="D23" s="141"/>
      <c r="E23" s="141"/>
      <c r="F23" s="141"/>
      <c r="G23" s="141"/>
      <c r="H23" s="141"/>
    </row>
    <row r="24" spans="1:8" ht="12.75">
      <c r="A24" s="145"/>
      <c r="B24" s="146"/>
      <c r="C24" s="147"/>
      <c r="D24" s="141"/>
      <c r="E24" s="141"/>
      <c r="F24" s="141"/>
      <c r="G24" s="141"/>
      <c r="H24" s="141"/>
    </row>
    <row r="25" spans="2:8" ht="12.75">
      <c r="B25" s="148" t="s">
        <v>71</v>
      </c>
      <c r="C25" s="148" t="s">
        <v>97</v>
      </c>
      <c r="D25" s="258" t="s">
        <v>100</v>
      </c>
      <c r="E25" s="258"/>
      <c r="F25" s="258" t="s">
        <v>99</v>
      </c>
      <c r="G25" s="258"/>
      <c r="H25" s="148" t="s">
        <v>101</v>
      </c>
    </row>
    <row r="26" spans="2:8" ht="12.75">
      <c r="B26" s="149">
        <v>1</v>
      </c>
      <c r="C26" s="91" t="str">
        <f>ORÇAMENTO!C16</f>
        <v>SERVIÇOS PRELIMINARES</v>
      </c>
      <c r="D26" s="259" t="e">
        <f aca="true" t="shared" si="0" ref="D26:D34">F26/$F$35</f>
        <v>#VALUE!</v>
      </c>
      <c r="E26" s="259"/>
      <c r="F26" s="262" t="e">
        <f>ORÇAMENTO!H16</f>
        <v>#VALUE!</v>
      </c>
      <c r="G26" s="263"/>
      <c r="H26" s="151" t="e">
        <f>F26</f>
        <v>#VALUE!</v>
      </c>
    </row>
    <row r="27" spans="2:8" ht="12.75">
      <c r="B27" s="149">
        <v>2</v>
      </c>
      <c r="C27" s="91" t="str">
        <f>ORÇAMENTO!C19</f>
        <v>CALÇADAS</v>
      </c>
      <c r="D27" s="259" t="e">
        <f t="shared" si="0"/>
        <v>#VALUE!</v>
      </c>
      <c r="E27" s="259"/>
      <c r="F27" s="260" t="e">
        <f>ORÇAMENTO!H19</f>
        <v>#VALUE!</v>
      </c>
      <c r="G27" s="261"/>
      <c r="H27" s="151" t="e">
        <f>H26+F27</f>
        <v>#VALUE!</v>
      </c>
    </row>
    <row r="28" spans="2:8" ht="12.75">
      <c r="B28" s="152">
        <v>3</v>
      </c>
      <c r="C28" s="89" t="str">
        <f>ORÇAMENTO!C23</f>
        <v>ARQUIBANCADA</v>
      </c>
      <c r="D28" s="259" t="e">
        <f t="shared" si="0"/>
        <v>#VALUE!</v>
      </c>
      <c r="E28" s="259"/>
      <c r="F28" s="260" t="e">
        <f>ORÇAMENTO!H23</f>
        <v>#VALUE!</v>
      </c>
      <c r="G28" s="261"/>
      <c r="H28" s="151" t="e">
        <f>H27+F28</f>
        <v>#VALUE!</v>
      </c>
    </row>
    <row r="29" spans="2:8" ht="12.75">
      <c r="B29" s="152">
        <v>4</v>
      </c>
      <c r="C29" s="89" t="str">
        <f>ORÇAMENTO!C34</f>
        <v>QUADRA DE AREIA</v>
      </c>
      <c r="D29" s="259" t="e">
        <f t="shared" si="0"/>
        <v>#VALUE!</v>
      </c>
      <c r="E29" s="259"/>
      <c r="F29" s="260" t="e">
        <f>ORÇAMENTO!H34</f>
        <v>#VALUE!</v>
      </c>
      <c r="G29" s="261"/>
      <c r="H29" s="151" t="e">
        <f>H28+F29</f>
        <v>#VALUE!</v>
      </c>
    </row>
    <row r="30" spans="2:8" ht="12.75">
      <c r="B30" s="152">
        <v>5</v>
      </c>
      <c r="C30" s="89" t="str">
        <f>ORÇAMENTO!C55</f>
        <v>PINTURA</v>
      </c>
      <c r="D30" s="259" t="e">
        <f t="shared" si="0"/>
        <v>#VALUE!</v>
      </c>
      <c r="E30" s="259"/>
      <c r="F30" s="260" t="e">
        <f>ORÇAMENTO!H55</f>
        <v>#VALUE!</v>
      </c>
      <c r="G30" s="261"/>
      <c r="H30" s="151" t="e">
        <f>H29+F30</f>
        <v>#VALUE!</v>
      </c>
    </row>
    <row r="31" spans="2:8" ht="12.75" customHeight="1" hidden="1">
      <c r="B31" s="153"/>
      <c r="C31" s="89"/>
      <c r="D31" s="259" t="e">
        <f t="shared" si="0"/>
        <v>#VALUE!</v>
      </c>
      <c r="E31" s="259"/>
      <c r="F31" s="260"/>
      <c r="G31" s="261"/>
      <c r="H31" s="154"/>
    </row>
    <row r="32" spans="2:8" ht="12.75" customHeight="1" hidden="1">
      <c r="B32" s="153"/>
      <c r="C32" s="89"/>
      <c r="D32" s="259" t="e">
        <f t="shared" si="0"/>
        <v>#VALUE!</v>
      </c>
      <c r="E32" s="259"/>
      <c r="F32" s="260"/>
      <c r="G32" s="261"/>
      <c r="H32" s="154"/>
    </row>
    <row r="33" spans="2:8" ht="12.75" customHeight="1" hidden="1">
      <c r="B33" s="153"/>
      <c r="C33" s="89"/>
      <c r="D33" s="259" t="e">
        <f t="shared" si="0"/>
        <v>#VALUE!</v>
      </c>
      <c r="E33" s="259"/>
      <c r="F33" s="260"/>
      <c r="G33" s="261"/>
      <c r="H33" s="154"/>
    </row>
    <row r="34" spans="2:8" ht="12.75" customHeight="1" hidden="1">
      <c r="B34" s="155"/>
      <c r="C34" s="90"/>
      <c r="D34" s="259" t="e">
        <f t="shared" si="0"/>
        <v>#VALUE!</v>
      </c>
      <c r="E34" s="259"/>
      <c r="F34" s="260"/>
      <c r="G34" s="261"/>
      <c r="H34" s="156"/>
    </row>
    <row r="35" spans="2:8" ht="12.75">
      <c r="B35" s="264" t="s">
        <v>102</v>
      </c>
      <c r="C35" s="264"/>
      <c r="D35" s="266" t="e">
        <f>SUM(D26:E33)</f>
        <v>#VALUE!</v>
      </c>
      <c r="E35" s="258"/>
      <c r="F35" s="265" t="e">
        <f>SUM(F26:G33)</f>
        <v>#VALUE!</v>
      </c>
      <c r="G35" s="258"/>
      <c r="H35" s="157"/>
    </row>
    <row r="37" ht="12.75">
      <c r="C37" s="158"/>
    </row>
    <row r="38" ht="12.75">
      <c r="C38" s="158"/>
    </row>
    <row r="39" ht="12.75">
      <c r="C39" s="86"/>
    </row>
    <row r="40" ht="12.75">
      <c r="C40" s="86"/>
    </row>
    <row r="41" spans="3:6" ht="12.75">
      <c r="C41" s="100"/>
      <c r="D41" s="125" t="s">
        <v>116</v>
      </c>
      <c r="E41" s="131" t="str">
        <f>'P. BDI'!C42</f>
        <v>.</v>
      </c>
      <c r="F41" s="159"/>
    </row>
    <row r="42" spans="3:5" ht="12.75">
      <c r="C42" s="100"/>
      <c r="D42" s="127" t="s">
        <v>118</v>
      </c>
      <c r="E42" s="158" t="str">
        <f>'P. BDI'!C43</f>
        <v>.</v>
      </c>
    </row>
    <row r="47" spans="4:5" ht="12.75">
      <c r="D47" s="100"/>
      <c r="E47" s="100"/>
    </row>
    <row r="48" spans="4:6" ht="12.75">
      <c r="D48" s="125" t="s">
        <v>117</v>
      </c>
      <c r="E48" s="131" t="str">
        <f>'P. BDI'!C49</f>
        <v>.</v>
      </c>
      <c r="F48" s="159"/>
    </row>
    <row r="49" spans="4:5" ht="12.75">
      <c r="D49" s="127" t="s">
        <v>61</v>
      </c>
      <c r="E49" s="158" t="str">
        <f>'P. BDI'!C50</f>
        <v>.</v>
      </c>
    </row>
  </sheetData>
  <sheetProtection password="C637" sheet="1" selectLockedCells="1"/>
  <mergeCells count="32">
    <mergeCell ref="D32:E32"/>
    <mergeCell ref="D30:E30"/>
    <mergeCell ref="D34:E34"/>
    <mergeCell ref="D35:E35"/>
    <mergeCell ref="F33:G33"/>
    <mergeCell ref="D33:E33"/>
    <mergeCell ref="F27:G27"/>
    <mergeCell ref="F29:G29"/>
    <mergeCell ref="B35:C35"/>
    <mergeCell ref="F34:G34"/>
    <mergeCell ref="F35:G35"/>
    <mergeCell ref="F30:G30"/>
    <mergeCell ref="F31:G31"/>
    <mergeCell ref="F32:G32"/>
    <mergeCell ref="D25:E25"/>
    <mergeCell ref="D27:E27"/>
    <mergeCell ref="F28:G28"/>
    <mergeCell ref="D31:E31"/>
    <mergeCell ref="D29:E29"/>
    <mergeCell ref="D28:E28"/>
    <mergeCell ref="D26:E26"/>
    <mergeCell ref="F26:G26"/>
    <mergeCell ref="A2:H3"/>
    <mergeCell ref="A8:B8"/>
    <mergeCell ref="A9:B9"/>
    <mergeCell ref="A12:B12"/>
    <mergeCell ref="A13:B13"/>
    <mergeCell ref="F25:G25"/>
    <mergeCell ref="A14:B14"/>
    <mergeCell ref="A15:B15"/>
    <mergeCell ref="A10:B10"/>
    <mergeCell ref="A11:B11"/>
  </mergeCells>
  <conditionalFormatting sqref="C27 C31:C34">
    <cfRule type="expression" priority="7" dxfId="85" stopIfTrue="1">
      <formula>$J27=1</formula>
    </cfRule>
    <cfRule type="expression" priority="8" dxfId="86" stopIfTrue="1">
      <formula>$K27=2</formula>
    </cfRule>
    <cfRule type="expression" priority="9" dxfId="87" stopIfTrue="1">
      <formula>$K27=3</formula>
    </cfRule>
  </conditionalFormatting>
  <conditionalFormatting sqref="C29:C30">
    <cfRule type="expression" priority="13" dxfId="85" stopIfTrue="1">
      <formula>$J28=1</formula>
    </cfRule>
    <cfRule type="expression" priority="14" dxfId="86" stopIfTrue="1">
      <formula>$K28=2</formula>
    </cfRule>
    <cfRule type="expression" priority="15" dxfId="87" stopIfTrue="1">
      <formula>$K28=3</formula>
    </cfRule>
  </conditionalFormatting>
  <conditionalFormatting sqref="C28">
    <cfRule type="expression" priority="4" dxfId="85" stopIfTrue="1">
      <formula>$J28=1</formula>
    </cfRule>
    <cfRule type="expression" priority="5" dxfId="86" stopIfTrue="1">
      <formula>$K28=2</formula>
    </cfRule>
    <cfRule type="expression" priority="6" dxfId="87" stopIfTrue="1">
      <formula>$K28=3</formula>
    </cfRule>
  </conditionalFormatting>
  <conditionalFormatting sqref="C26">
    <cfRule type="expression" priority="1" dxfId="85" stopIfTrue="1">
      <formula>$J26=1</formula>
    </cfRule>
    <cfRule type="expression" priority="2" dxfId="86" stopIfTrue="1">
      <formula>$K26=2</formula>
    </cfRule>
    <cfRule type="expression" priority="3" dxfId="87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C8:C15 A8:B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7.140625" style="136" customWidth="1"/>
    <col min="2" max="2" width="9.421875" style="136" customWidth="1"/>
    <col min="3" max="3" width="54.140625" style="136" customWidth="1"/>
    <col min="4" max="4" width="6.28125" style="136" customWidth="1"/>
    <col min="5" max="5" width="10.28125" style="136" customWidth="1"/>
    <col min="6" max="6" width="10.7109375" style="136" bestFit="1" customWidth="1"/>
    <col min="7" max="13" width="11.7109375" style="136" customWidth="1"/>
    <col min="14" max="14" width="10.7109375" style="136" customWidth="1"/>
    <col min="15" max="16384" width="9.140625" style="136" customWidth="1"/>
  </cols>
  <sheetData>
    <row r="1" ht="37.5" customHeight="1">
      <c r="A1" s="97" t="s">
        <v>66</v>
      </c>
    </row>
    <row r="2" spans="1:14" ht="12.75" customHeight="1">
      <c r="A2" s="256" t="s">
        <v>115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8" ht="12.75" customHeight="1">
      <c r="A4" s="138"/>
      <c r="B4" s="138"/>
      <c r="C4" s="138"/>
      <c r="D4" s="138"/>
      <c r="E4" s="138"/>
      <c r="F4" s="138"/>
      <c r="G4" s="138"/>
      <c r="H4" s="138"/>
    </row>
    <row r="5" spans="1:7" ht="15.75" customHeight="1">
      <c r="A5" s="257" t="str">
        <f>'P. BDI'!B3</f>
        <v>Edital :</v>
      </c>
      <c r="B5" s="257"/>
      <c r="C5" s="140" t="str">
        <f>'P. BDI'!C3:F3</f>
        <v>TP-015/2019</v>
      </c>
      <c r="D5" s="270" t="s">
        <v>158</v>
      </c>
      <c r="E5" s="270"/>
      <c r="F5" s="271">
        <f>ORÇAMENTO!F5</f>
        <v>288</v>
      </c>
      <c r="G5" s="272"/>
    </row>
    <row r="6" spans="1:7" ht="12.75">
      <c r="A6" s="257" t="str">
        <f>'P. BDI'!B4</f>
        <v>Tomador: </v>
      </c>
      <c r="B6" s="257"/>
      <c r="C6" s="140" t="str">
        <f>'P. BDI'!C4:F4</f>
        <v>Prefeitura Municipal de Dois Vizinhos - PR</v>
      </c>
      <c r="D6" s="257" t="s">
        <v>98</v>
      </c>
      <c r="E6" s="257"/>
      <c r="F6" s="273" t="e">
        <f>ORÇAMENTO!H62</f>
        <v>#VALUE!</v>
      </c>
      <c r="G6" s="274"/>
    </row>
    <row r="7" spans="1:8" ht="12.75">
      <c r="A7" s="257" t="str">
        <f>'P. BDI'!B5</f>
        <v>Empreendimento: </v>
      </c>
      <c r="B7" s="257"/>
      <c r="C7" s="140" t="str">
        <f>'P. BDI'!C5:F5</f>
        <v>QUADRA DE AREIA - LAGO DA PAZ</v>
      </c>
      <c r="D7" s="257" t="s">
        <v>80</v>
      </c>
      <c r="E7" s="257"/>
      <c r="F7" s="273" t="e">
        <f>ORÇAMENTO!F6</f>
        <v>#VALUE!</v>
      </c>
      <c r="G7" s="274"/>
      <c r="H7" s="141"/>
    </row>
    <row r="8" spans="1:8" ht="12.75">
      <c r="A8" s="257" t="str">
        <f>'P. BDI'!B6</f>
        <v>Local da Obra:</v>
      </c>
      <c r="B8" s="257"/>
      <c r="C8" s="140" t="str">
        <f>'P. BDI'!C6:F6</f>
        <v>Rua Padre Anchieta, 891</v>
      </c>
      <c r="D8" s="139"/>
      <c r="E8" s="141"/>
      <c r="F8" s="141"/>
      <c r="G8" s="141"/>
      <c r="H8" s="141"/>
    </row>
    <row r="9" spans="1:8" ht="12.75">
      <c r="A9" s="257" t="str">
        <f>'P. BDI'!B7</f>
        <v>Empresa Prop.:</v>
      </c>
      <c r="B9" s="257"/>
      <c r="C9" s="140" t="str">
        <f>'P. BDI'!C7:F7</f>
        <v>xxxxxxxxxxxxxx</v>
      </c>
      <c r="D9" s="139"/>
      <c r="E9" s="141"/>
      <c r="F9" s="141"/>
      <c r="G9" s="141"/>
      <c r="H9" s="141"/>
    </row>
    <row r="10" spans="1:8" ht="12.75">
      <c r="A10" s="257" t="str">
        <f>'P. BDI'!B8</f>
        <v>CNPJ:</v>
      </c>
      <c r="B10" s="257"/>
      <c r="C10" s="140" t="str">
        <f>'P. BDI'!C8:F8</f>
        <v>xxxxxxxxxxxxxx</v>
      </c>
      <c r="D10" s="139"/>
      <c r="E10" s="141"/>
      <c r="F10" s="141"/>
      <c r="G10" s="141"/>
      <c r="H10" s="141"/>
    </row>
    <row r="11" spans="1:8" ht="12.75">
      <c r="A11" s="257" t="str">
        <f>'P. BDI'!B9</f>
        <v>Data Base:</v>
      </c>
      <c r="B11" s="257"/>
      <c r="C11" s="144" t="str">
        <f>'P. BDI'!C9:F9</f>
        <v>SINAPI 01/2019 DESONERADO</v>
      </c>
      <c r="D11" s="139"/>
      <c r="E11" s="139"/>
      <c r="F11" s="143"/>
      <c r="G11" s="109"/>
      <c r="H11" s="109"/>
    </row>
    <row r="12" spans="1:8" ht="12.75">
      <c r="A12" s="257" t="s">
        <v>103</v>
      </c>
      <c r="B12" s="257"/>
      <c r="C12" s="87" t="e">
        <f>'P. BDI'!F31</f>
        <v>#VALUE!</v>
      </c>
      <c r="D12" s="139"/>
      <c r="E12" s="139"/>
      <c r="F12" s="143"/>
      <c r="G12" s="109"/>
      <c r="H12" s="109"/>
    </row>
    <row r="13" spans="1:8" ht="12.75">
      <c r="A13" s="145"/>
      <c r="B13" s="146"/>
      <c r="C13" s="147"/>
      <c r="D13" s="141"/>
      <c r="E13" s="141"/>
      <c r="F13" s="141"/>
      <c r="G13" s="141"/>
      <c r="H13" s="141"/>
    </row>
    <row r="15" spans="2:14" ht="12.75">
      <c r="B15" s="148" t="s">
        <v>71</v>
      </c>
      <c r="C15" s="258" t="s">
        <v>97</v>
      </c>
      <c r="D15" s="258"/>
      <c r="E15" s="258" t="s">
        <v>104</v>
      </c>
      <c r="F15" s="258"/>
      <c r="G15" s="148" t="s">
        <v>105</v>
      </c>
      <c r="H15" s="148" t="s">
        <v>106</v>
      </c>
      <c r="I15" s="148" t="s">
        <v>107</v>
      </c>
      <c r="J15" s="148" t="s">
        <v>108</v>
      </c>
      <c r="K15" s="148" t="s">
        <v>109</v>
      </c>
      <c r="L15" s="148" t="s">
        <v>110</v>
      </c>
      <c r="M15" s="148" t="s">
        <v>111</v>
      </c>
      <c r="N15" s="148" t="s">
        <v>112</v>
      </c>
    </row>
    <row r="16" spans="2:14" ht="12.75">
      <c r="B16" s="160">
        <f>QCI!B26</f>
        <v>1</v>
      </c>
      <c r="C16" s="275" t="str">
        <f>QCI!C26</f>
        <v>SERVIÇOS PRELIMINARES</v>
      </c>
      <c r="D16" s="276"/>
      <c r="E16" s="269" t="e">
        <f>QCI!F26</f>
        <v>#VALUE!</v>
      </c>
      <c r="F16" s="269"/>
      <c r="G16" s="150">
        <v>1</v>
      </c>
      <c r="H16" s="150"/>
      <c r="I16" s="150"/>
      <c r="J16" s="150"/>
      <c r="K16" s="150"/>
      <c r="L16" s="150"/>
      <c r="M16" s="150"/>
      <c r="N16" s="161">
        <f aca="true" t="shared" si="0" ref="N16:N27">SUM(G16:M16)</f>
        <v>1</v>
      </c>
    </row>
    <row r="17" spans="2:14" ht="12.75">
      <c r="B17" s="160">
        <f>QCI!B27</f>
        <v>2</v>
      </c>
      <c r="C17" s="286" t="str">
        <f>QCI!C27</f>
        <v>CALÇADAS</v>
      </c>
      <c r="D17" s="286"/>
      <c r="E17" s="269" t="e">
        <f>QCI!F27</f>
        <v>#VALUE!</v>
      </c>
      <c r="F17" s="269"/>
      <c r="G17" s="150">
        <v>0.8</v>
      </c>
      <c r="H17" s="150">
        <v>0.2</v>
      </c>
      <c r="I17" s="150"/>
      <c r="J17" s="150"/>
      <c r="K17" s="150"/>
      <c r="L17" s="150"/>
      <c r="M17" s="150"/>
      <c r="N17" s="161">
        <f t="shared" si="0"/>
        <v>1</v>
      </c>
    </row>
    <row r="18" spans="2:14" ht="12.75">
      <c r="B18" s="160">
        <f>QCI!B28</f>
        <v>3</v>
      </c>
      <c r="C18" s="286" t="str">
        <f>QCI!C28</f>
        <v>ARQUIBANCADA</v>
      </c>
      <c r="D18" s="286"/>
      <c r="E18" s="269" t="e">
        <f>QCI!F28</f>
        <v>#VALUE!</v>
      </c>
      <c r="F18" s="269"/>
      <c r="G18" s="162">
        <v>0.2</v>
      </c>
      <c r="H18" s="150">
        <v>0.8</v>
      </c>
      <c r="I18" s="150"/>
      <c r="J18" s="150"/>
      <c r="K18" s="150"/>
      <c r="L18" s="150"/>
      <c r="M18" s="150"/>
      <c r="N18" s="163">
        <f t="shared" si="0"/>
        <v>1</v>
      </c>
    </row>
    <row r="19" spans="2:14" ht="12.75">
      <c r="B19" s="160">
        <f>QCI!B29</f>
        <v>4</v>
      </c>
      <c r="C19" s="286" t="str">
        <f>QCI!C29</f>
        <v>QUADRA DE AREIA</v>
      </c>
      <c r="D19" s="286"/>
      <c r="E19" s="269" t="e">
        <f>QCI!F29</f>
        <v>#VALUE!</v>
      </c>
      <c r="F19" s="269"/>
      <c r="G19" s="162">
        <v>0.2</v>
      </c>
      <c r="H19" s="150">
        <v>0.8</v>
      </c>
      <c r="I19" s="150"/>
      <c r="J19" s="162"/>
      <c r="K19" s="162"/>
      <c r="L19" s="162"/>
      <c r="M19" s="162"/>
      <c r="N19" s="163">
        <f t="shared" si="0"/>
        <v>1</v>
      </c>
    </row>
    <row r="20" spans="2:14" ht="12.75">
      <c r="B20" s="160">
        <f>QCI!B30</f>
        <v>5</v>
      </c>
      <c r="C20" s="286" t="str">
        <f>QCI!C30</f>
        <v>PINTURA</v>
      </c>
      <c r="D20" s="286"/>
      <c r="E20" s="269" t="e">
        <f>QCI!F30</f>
        <v>#VALUE!</v>
      </c>
      <c r="F20" s="269"/>
      <c r="G20" s="162"/>
      <c r="H20" s="162">
        <v>1</v>
      </c>
      <c r="I20" s="162"/>
      <c r="J20" s="162"/>
      <c r="K20" s="162"/>
      <c r="L20" s="162"/>
      <c r="M20" s="162"/>
      <c r="N20" s="163">
        <f t="shared" si="0"/>
        <v>1</v>
      </c>
    </row>
    <row r="21" spans="2:14" ht="12.75" hidden="1">
      <c r="B21" s="160">
        <f>QCI!B31</f>
        <v>0</v>
      </c>
      <c r="C21" s="267"/>
      <c r="D21" s="268"/>
      <c r="E21" s="260"/>
      <c r="F21" s="261"/>
      <c r="G21" s="162"/>
      <c r="H21" s="162"/>
      <c r="I21" s="162"/>
      <c r="J21" s="162"/>
      <c r="K21" s="162"/>
      <c r="L21" s="162"/>
      <c r="M21" s="162"/>
      <c r="N21" s="163">
        <f t="shared" si="0"/>
        <v>0</v>
      </c>
    </row>
    <row r="22" spans="2:14" ht="12.75" hidden="1">
      <c r="B22" s="160">
        <f>QCI!B32</f>
        <v>0</v>
      </c>
      <c r="C22" s="267"/>
      <c r="D22" s="268"/>
      <c r="E22" s="260"/>
      <c r="F22" s="261"/>
      <c r="G22" s="162"/>
      <c r="H22" s="162"/>
      <c r="I22" s="162"/>
      <c r="J22" s="162"/>
      <c r="K22" s="162"/>
      <c r="L22" s="162"/>
      <c r="M22" s="162"/>
      <c r="N22" s="163">
        <f t="shared" si="0"/>
        <v>0</v>
      </c>
    </row>
    <row r="23" spans="2:14" ht="12.75" hidden="1">
      <c r="B23" s="160">
        <f>QCI!B33</f>
        <v>0</v>
      </c>
      <c r="C23" s="267"/>
      <c r="D23" s="268"/>
      <c r="E23" s="260"/>
      <c r="F23" s="261"/>
      <c r="G23" s="162"/>
      <c r="H23" s="162"/>
      <c r="I23" s="162"/>
      <c r="J23" s="162"/>
      <c r="K23" s="162"/>
      <c r="L23" s="162"/>
      <c r="M23" s="162"/>
      <c r="N23" s="163">
        <f t="shared" si="0"/>
        <v>0</v>
      </c>
    </row>
    <row r="24" spans="2:14" ht="12.75" hidden="1">
      <c r="B24" s="160">
        <f>QCI!B34</f>
        <v>0</v>
      </c>
      <c r="C24" s="278"/>
      <c r="D24" s="278"/>
      <c r="E24" s="277"/>
      <c r="F24" s="277"/>
      <c r="G24" s="162"/>
      <c r="H24" s="162"/>
      <c r="I24" s="162"/>
      <c r="J24" s="162"/>
      <c r="K24" s="162"/>
      <c r="L24" s="162"/>
      <c r="M24" s="162"/>
      <c r="N24" s="163">
        <f t="shared" si="0"/>
        <v>0</v>
      </c>
    </row>
    <row r="25" spans="2:14" ht="12.75" hidden="1">
      <c r="B25" s="160" t="str">
        <f>QCI!B35</f>
        <v>TOTAL :</v>
      </c>
      <c r="C25" s="278"/>
      <c r="D25" s="278"/>
      <c r="E25" s="277"/>
      <c r="F25" s="277"/>
      <c r="G25" s="162"/>
      <c r="H25" s="162"/>
      <c r="I25" s="162"/>
      <c r="J25" s="162"/>
      <c r="K25" s="162"/>
      <c r="L25" s="162"/>
      <c r="M25" s="162"/>
      <c r="N25" s="163">
        <f t="shared" si="0"/>
        <v>0</v>
      </c>
    </row>
    <row r="26" spans="2:14" ht="12.75" hidden="1">
      <c r="B26" s="160">
        <f>QCI!B36</f>
        <v>0</v>
      </c>
      <c r="C26" s="278"/>
      <c r="D26" s="278"/>
      <c r="E26" s="277"/>
      <c r="F26" s="277"/>
      <c r="G26" s="162"/>
      <c r="H26" s="162"/>
      <c r="I26" s="162"/>
      <c r="J26" s="162"/>
      <c r="K26" s="162"/>
      <c r="L26" s="162"/>
      <c r="M26" s="162"/>
      <c r="N26" s="163">
        <f t="shared" si="0"/>
        <v>0</v>
      </c>
    </row>
    <row r="27" spans="2:14" ht="12.75" hidden="1">
      <c r="B27" s="160">
        <f>QCI!B37</f>
        <v>0</v>
      </c>
      <c r="C27" s="279"/>
      <c r="D27" s="279"/>
      <c r="E27" s="283"/>
      <c r="F27" s="283"/>
      <c r="G27" s="165"/>
      <c r="H27" s="165"/>
      <c r="I27" s="165"/>
      <c r="J27" s="165"/>
      <c r="K27" s="165"/>
      <c r="L27" s="165"/>
      <c r="M27" s="165"/>
      <c r="N27" s="166">
        <f t="shared" si="0"/>
        <v>0</v>
      </c>
    </row>
    <row r="28" spans="2:14" ht="12.75">
      <c r="B28" s="280" t="s">
        <v>114</v>
      </c>
      <c r="C28" s="280"/>
      <c r="D28" s="280"/>
      <c r="E28" s="284">
        <v>1</v>
      </c>
      <c r="F28" s="285"/>
      <c r="G28" s="167" t="e">
        <f aca="true" t="shared" si="1" ref="G28:M28">G29/$E$29</f>
        <v>#VALUE!</v>
      </c>
      <c r="H28" s="167" t="e">
        <f t="shared" si="1"/>
        <v>#VALUE!</v>
      </c>
      <c r="I28" s="167" t="e">
        <f t="shared" si="1"/>
        <v>#VALUE!</v>
      </c>
      <c r="J28" s="167" t="e">
        <f t="shared" si="1"/>
        <v>#VALUE!</v>
      </c>
      <c r="K28" s="167" t="e">
        <f t="shared" si="1"/>
        <v>#VALUE!</v>
      </c>
      <c r="L28" s="167" t="e">
        <f t="shared" si="1"/>
        <v>#VALUE!</v>
      </c>
      <c r="M28" s="167" t="e">
        <f t="shared" si="1"/>
        <v>#VALUE!</v>
      </c>
      <c r="N28" s="168"/>
    </row>
    <row r="29" spans="2:14" ht="12.75">
      <c r="B29" s="280" t="s">
        <v>25</v>
      </c>
      <c r="C29" s="280"/>
      <c r="D29" s="280"/>
      <c r="E29" s="261" t="e">
        <f>SUM(E16:F27)</f>
        <v>#VALUE!</v>
      </c>
      <c r="F29" s="277"/>
      <c r="G29" s="164" t="e">
        <f>(G17*$E$17)+(G18*$E$18)+(G19*$E$19)+(G20*$E$20)+(G21*$E$21)+(G22*$E$22)+(G23*$E$23)+(G24*$E$24)+(G25*$E$25)+(G26*$E$26)+(G16*$E$16)</f>
        <v>#VALUE!</v>
      </c>
      <c r="H29" s="164" t="e">
        <f>(H17*$E$17)+(H18*$E$18)+(H19*$E$19)+(H20*$E$20)+(H21*$E$21)+(H22*$E$22)+(H23*$E$23)+(H24*$E$24)+(H25*$E$25)+(H16*$E$26)+(H27*$E$16)</f>
        <v>#VALUE!</v>
      </c>
      <c r="I29" s="164" t="e">
        <f>(I17*$E$17)+(I18*$E$18)+(I19*$E$19)+(I20*$E$20)+(I21*$E$21)+(I22*$E$22)+(I23*$E$23)+(I24*$E$24)+(I25*$E$25)+(I26*$E$16)+(I16*$E$27)</f>
        <v>#VALUE!</v>
      </c>
      <c r="J29" s="164" t="e">
        <f>(J17*$E$17)+(J18*$E$18)+(J19*$E$19)+(J20*$E$20)+(J21*$E$21)+(J22*$E$22)+(J23*$E$23)+(J24*$E$24)+(J25*$E$25)+(J26*$E$26)+(J27*$E$27)</f>
        <v>#VALUE!</v>
      </c>
      <c r="K29" s="164" t="e">
        <f>(K17*$E$17)+(K18*$E$18)+(K19*$E$19)+(K20*$E$20)+(K21*$E$21)+(K22*$E$22)+(K23*$E$23)+(K24*$E$24)+(K25*$E$25)+(K26*$E$26)+(K27*$E$27)</f>
        <v>#VALUE!</v>
      </c>
      <c r="L29" s="164" t="e">
        <f>(L17*$E$17)+(L18*$E$18)+(L19*$E$19)+(L20*$E$20)+(L21*$E$21)+(L22*$E$22)+(L23*$E$23)+(L24*$E$24)+(L25*$E$25)+(L26*$E$26)+(L27*$E$27)</f>
        <v>#VALUE!</v>
      </c>
      <c r="M29" s="164" t="e">
        <f>(M17*$E$17)+(M18*$E$18)+(M19*$E$19)+(M20*$E$20)+(M21*$E$21)+(M22*$E$22)+(M23*$E$23)+(M24*$E$24)+(M25*$E$25)+(M26*$E$26)+(M27*$E$27)</f>
        <v>#VALUE!</v>
      </c>
      <c r="N29" s="169"/>
    </row>
    <row r="30" spans="2:14" ht="12.75">
      <c r="B30" s="280" t="s">
        <v>113</v>
      </c>
      <c r="C30" s="280"/>
      <c r="D30" s="280"/>
      <c r="E30" s="281"/>
      <c r="F30" s="282"/>
      <c r="G30" s="170" t="e">
        <f>G29</f>
        <v>#VALUE!</v>
      </c>
      <c r="H30" s="170" t="e">
        <f aca="true" t="shared" si="2" ref="H30:M30">H29+G30</f>
        <v>#VALUE!</v>
      </c>
      <c r="I30" s="170" t="e">
        <f t="shared" si="2"/>
        <v>#VALUE!</v>
      </c>
      <c r="J30" s="170" t="e">
        <f t="shared" si="2"/>
        <v>#VALUE!</v>
      </c>
      <c r="K30" s="170" t="e">
        <f t="shared" si="2"/>
        <v>#VALUE!</v>
      </c>
      <c r="L30" s="170" t="e">
        <f t="shared" si="2"/>
        <v>#VALUE!</v>
      </c>
      <c r="M30" s="170" t="e">
        <f t="shared" si="2"/>
        <v>#VALUE!</v>
      </c>
      <c r="N30" s="171"/>
    </row>
    <row r="36" spans="6:8" ht="12.75">
      <c r="F36" s="125" t="s">
        <v>116</v>
      </c>
      <c r="G36" s="131" t="str">
        <f>'P. BDI'!C42</f>
        <v>.</v>
      </c>
      <c r="H36" s="159"/>
    </row>
    <row r="37" spans="6:7" ht="12.75">
      <c r="F37" s="127" t="s">
        <v>118</v>
      </c>
      <c r="G37" s="158" t="str">
        <f>'P. BDI'!C43</f>
        <v>.</v>
      </c>
    </row>
    <row r="40" spans="6:7" ht="12.75">
      <c r="F40" s="83"/>
      <c r="G40" s="100"/>
    </row>
    <row r="41" spans="6:7" ht="12.75">
      <c r="F41" s="100"/>
      <c r="G41" s="100"/>
    </row>
    <row r="43" spans="6:8" ht="12.75">
      <c r="F43" s="125" t="s">
        <v>117</v>
      </c>
      <c r="G43" s="131" t="str">
        <f>'P. BDI'!C49</f>
        <v>.</v>
      </c>
      <c r="H43" s="159"/>
    </row>
    <row r="44" spans="6:7" ht="12.75">
      <c r="F44" s="127" t="s">
        <v>61</v>
      </c>
      <c r="G44" s="158" t="str">
        <f>'P. BDI'!C50</f>
        <v>.</v>
      </c>
    </row>
  </sheetData>
  <sheetProtection password="C637" sheet="1" selectLockedCells="1"/>
  <mergeCells count="47">
    <mergeCell ref="E17:F17"/>
    <mergeCell ref="E18:F18"/>
    <mergeCell ref="E19:F19"/>
    <mergeCell ref="C24:D24"/>
    <mergeCell ref="C25:D25"/>
    <mergeCell ref="C15:D15"/>
    <mergeCell ref="C17:D17"/>
    <mergeCell ref="C18:D18"/>
    <mergeCell ref="C19:D19"/>
    <mergeCell ref="C20:D20"/>
    <mergeCell ref="C26:D26"/>
    <mergeCell ref="C27:D27"/>
    <mergeCell ref="B30:D30"/>
    <mergeCell ref="E30:F30"/>
    <mergeCell ref="E26:F26"/>
    <mergeCell ref="E27:F27"/>
    <mergeCell ref="E28:F28"/>
    <mergeCell ref="E29:F29"/>
    <mergeCell ref="B29:D29"/>
    <mergeCell ref="B28:D28"/>
    <mergeCell ref="A2:N3"/>
    <mergeCell ref="A11:B11"/>
    <mergeCell ref="A12:B12"/>
    <mergeCell ref="E24:F24"/>
    <mergeCell ref="E25:F25"/>
    <mergeCell ref="A7:B7"/>
    <mergeCell ref="D7:E7"/>
    <mergeCell ref="F7:G7"/>
    <mergeCell ref="A8:B8"/>
    <mergeCell ref="A9:B9"/>
    <mergeCell ref="E16:F16"/>
    <mergeCell ref="A10:B10"/>
    <mergeCell ref="A5:B5"/>
    <mergeCell ref="D5:E5"/>
    <mergeCell ref="F5:G5"/>
    <mergeCell ref="A6:B6"/>
    <mergeCell ref="D6:E6"/>
    <mergeCell ref="F6:G6"/>
    <mergeCell ref="E15:F15"/>
    <mergeCell ref="C16:D16"/>
    <mergeCell ref="E23:F23"/>
    <mergeCell ref="C23:D23"/>
    <mergeCell ref="E22:F22"/>
    <mergeCell ref="C22:D22"/>
    <mergeCell ref="E21:F21"/>
    <mergeCell ref="E20:F20"/>
    <mergeCell ref="C21:D21"/>
  </mergeCells>
  <conditionalFormatting sqref="C17:C26">
    <cfRule type="expression" priority="16" dxfId="85" stopIfTrue="1">
      <formula>$J17=1</formula>
    </cfRule>
    <cfRule type="expression" priority="17" dxfId="86" stopIfTrue="1">
      <formula>$K17=2</formula>
    </cfRule>
    <cfRule type="expression" priority="18" dxfId="87" stopIfTrue="1">
      <formula>$K17=3</formula>
    </cfRule>
  </conditionalFormatting>
  <conditionalFormatting sqref="C27">
    <cfRule type="expression" priority="10" dxfId="85" stopIfTrue="1">
      <formula>$J27=1</formula>
    </cfRule>
    <cfRule type="expression" priority="11" dxfId="86" stopIfTrue="1">
      <formula>$K27=2</formula>
    </cfRule>
    <cfRule type="expression" priority="12" dxfId="87" stopIfTrue="1">
      <formula>$K27=3</formula>
    </cfRule>
  </conditionalFormatting>
  <conditionalFormatting sqref="C16">
    <cfRule type="expression" priority="1" dxfId="85" stopIfTrue="1">
      <formula>$J16=1</formula>
    </cfRule>
    <cfRule type="expression" priority="2" dxfId="86" stopIfTrue="1">
      <formula>$K16=2</formula>
    </cfRule>
    <cfRule type="expression" priority="3" dxfId="87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F5:G7 C5:C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9.140625" style="136" customWidth="1"/>
    <col min="2" max="2" width="13.8515625" style="136" customWidth="1"/>
    <col min="3" max="3" width="54.140625" style="136" customWidth="1"/>
    <col min="4" max="4" width="6.28125" style="172" customWidth="1"/>
    <col min="5" max="5" width="10.28125" style="136" customWidth="1"/>
    <col min="6" max="6" width="10.7109375" style="173" bestFit="1" customWidth="1"/>
    <col min="7" max="7" width="11.7109375" style="136" customWidth="1"/>
    <col min="8" max="8" width="13.140625" style="136" customWidth="1"/>
    <col min="9" max="9" width="9.140625" style="136" customWidth="1"/>
    <col min="10" max="10" width="10.57421875" style="136" bestFit="1" customWidth="1"/>
    <col min="11" max="11" width="10.140625" style="136" bestFit="1" customWidth="1"/>
    <col min="12" max="16384" width="9.140625" style="136" customWidth="1"/>
  </cols>
  <sheetData>
    <row r="1" ht="37.5" customHeight="1">
      <c r="A1" s="97" t="s">
        <v>66</v>
      </c>
    </row>
    <row r="2" spans="1:8" ht="12.75" customHeight="1">
      <c r="A2" s="256" t="s">
        <v>68</v>
      </c>
      <c r="B2" s="256"/>
      <c r="C2" s="256"/>
      <c r="D2" s="256"/>
      <c r="E2" s="256"/>
      <c r="F2" s="256"/>
      <c r="G2" s="256"/>
      <c r="H2" s="256"/>
    </row>
    <row r="3" spans="1:8" ht="15" customHeight="1">
      <c r="A3" s="256"/>
      <c r="B3" s="256"/>
      <c r="C3" s="256"/>
      <c r="D3" s="256"/>
      <c r="E3" s="256"/>
      <c r="F3" s="256"/>
      <c r="G3" s="256"/>
      <c r="H3" s="256"/>
    </row>
    <row r="4" spans="1:8" ht="12.75" customHeight="1">
      <c r="A4" s="138"/>
      <c r="B4" s="138"/>
      <c r="C4" s="138"/>
      <c r="D4" s="138"/>
      <c r="E4" s="138"/>
      <c r="F4" s="138"/>
      <c r="G4" s="138"/>
      <c r="H4" s="138"/>
    </row>
    <row r="5" spans="1:8" ht="15.75" customHeight="1">
      <c r="A5" s="257" t="str">
        <f>'P. BDI'!B3</f>
        <v>Edital :</v>
      </c>
      <c r="B5" s="257"/>
      <c r="C5" s="140" t="str">
        <f>'P. BDI'!C3:F3</f>
        <v>TP-015/2019</v>
      </c>
      <c r="D5" s="270" t="s">
        <v>119</v>
      </c>
      <c r="E5" s="270"/>
      <c r="F5" s="287">
        <v>288</v>
      </c>
      <c r="G5" s="288"/>
      <c r="H5" s="145"/>
    </row>
    <row r="6" spans="1:9" ht="12.75">
      <c r="A6" s="257" t="str">
        <f>'P. BDI'!B4</f>
        <v>Tomador: </v>
      </c>
      <c r="B6" s="257"/>
      <c r="C6" s="140" t="str">
        <f>'P. BDI'!C4:F4</f>
        <v>Prefeitura Municipal de Dois Vizinhos - PR</v>
      </c>
      <c r="D6" s="270" t="s">
        <v>80</v>
      </c>
      <c r="E6" s="270"/>
      <c r="F6" s="289" t="e">
        <f>H62/F5</f>
        <v>#VALUE!</v>
      </c>
      <c r="G6" s="290"/>
      <c r="H6" s="145"/>
      <c r="I6" s="142"/>
    </row>
    <row r="7" spans="1:8" ht="12.75">
      <c r="A7" s="257" t="str">
        <f>'P. BDI'!B5</f>
        <v>Empreendimento: </v>
      </c>
      <c r="B7" s="257"/>
      <c r="C7" s="140" t="str">
        <f>'P. BDI'!C5:F5</f>
        <v>QUADRA DE AREIA - LAGO DA PAZ</v>
      </c>
      <c r="D7" s="174"/>
      <c r="E7" s="141"/>
      <c r="F7" s="141"/>
      <c r="G7" s="141"/>
      <c r="H7" s="141"/>
    </row>
    <row r="8" spans="1:8" ht="12.75">
      <c r="A8" s="257" t="str">
        <f>'P. BDI'!B6</f>
        <v>Local da Obra:</v>
      </c>
      <c r="B8" s="257"/>
      <c r="C8" s="140" t="str">
        <f>'P. BDI'!C6:F6</f>
        <v>Rua Padre Anchieta, 891</v>
      </c>
      <c r="D8" s="174"/>
      <c r="E8" s="141"/>
      <c r="F8" s="141"/>
      <c r="G8" s="141"/>
      <c r="H8" s="141"/>
    </row>
    <row r="9" spans="1:8" ht="12.75">
      <c r="A9" s="257" t="str">
        <f>'P. BDI'!B7</f>
        <v>Empresa Prop.:</v>
      </c>
      <c r="B9" s="257"/>
      <c r="C9" s="140" t="str">
        <f>'P. BDI'!C7:F7</f>
        <v>xxxxxxxxxxxxxx</v>
      </c>
      <c r="D9" s="174"/>
      <c r="E9" s="141"/>
      <c r="F9" s="141"/>
      <c r="G9" s="141"/>
      <c r="H9" s="141"/>
    </row>
    <row r="10" spans="1:8" ht="12.75">
      <c r="A10" s="257" t="str">
        <f>'P. BDI'!B8</f>
        <v>CNPJ:</v>
      </c>
      <c r="B10" s="257"/>
      <c r="C10" s="140" t="str">
        <f>'P. BDI'!C8:F8</f>
        <v>xxxxxxxxxxxxxx</v>
      </c>
      <c r="D10" s="174"/>
      <c r="E10" s="141"/>
      <c r="F10" s="141"/>
      <c r="G10" s="141"/>
      <c r="H10" s="141"/>
    </row>
    <row r="11" spans="1:8" ht="12.75">
      <c r="A11" s="257" t="str">
        <f>'P. BDI'!B9</f>
        <v>Data Base:</v>
      </c>
      <c r="B11" s="257"/>
      <c r="C11" s="175" t="str">
        <f>'P. BDI'!C9:F9</f>
        <v>SINAPI 01/2019 DESONERADO</v>
      </c>
      <c r="D11" s="174"/>
      <c r="E11" s="139"/>
      <c r="F11" s="143"/>
      <c r="G11" s="109"/>
      <c r="H11" s="109"/>
    </row>
    <row r="12" spans="1:8" ht="12.75">
      <c r="A12" s="257" t="s">
        <v>95</v>
      </c>
      <c r="B12" s="257"/>
      <c r="C12" s="87" t="e">
        <f>'P. BDI'!F31</f>
        <v>#VALUE!</v>
      </c>
      <c r="D12" s="174"/>
      <c r="E12" s="139"/>
      <c r="F12" s="143"/>
      <c r="G12" s="109"/>
      <c r="H12" s="109"/>
    </row>
    <row r="13" spans="1:8" ht="12.75">
      <c r="A13" s="145"/>
      <c r="B13" s="146"/>
      <c r="C13" s="147"/>
      <c r="D13" s="176"/>
      <c r="E13" s="141"/>
      <c r="F13" s="141"/>
      <c r="G13" s="141"/>
      <c r="H13" s="141"/>
    </row>
    <row r="14" spans="1:8" s="178" customFormat="1" ht="25.5" customHeight="1">
      <c r="A14" s="177" t="s">
        <v>71</v>
      </c>
      <c r="B14" s="177" t="s">
        <v>72</v>
      </c>
      <c r="C14" s="177" t="s">
        <v>73</v>
      </c>
      <c r="D14" s="177" t="s">
        <v>129</v>
      </c>
      <c r="E14" s="177" t="s">
        <v>74</v>
      </c>
      <c r="F14" s="177" t="s">
        <v>75</v>
      </c>
      <c r="G14" s="177" t="s">
        <v>76</v>
      </c>
      <c r="H14" s="177" t="s">
        <v>77</v>
      </c>
    </row>
    <row r="15" spans="1:8" s="178" customFormat="1" ht="14.25" customHeight="1">
      <c r="A15" s="179"/>
      <c r="B15" s="180"/>
      <c r="C15" s="180"/>
      <c r="D15" s="180"/>
      <c r="E15" s="180"/>
      <c r="F15" s="180"/>
      <c r="G15" s="180"/>
      <c r="H15" s="181"/>
    </row>
    <row r="16" spans="1:8" s="137" customFormat="1" ht="12.75">
      <c r="A16" s="182">
        <v>1</v>
      </c>
      <c r="B16" s="183"/>
      <c r="C16" s="183" t="s">
        <v>132</v>
      </c>
      <c r="D16" s="184"/>
      <c r="E16" s="185"/>
      <c r="F16" s="185"/>
      <c r="G16" s="186" t="s">
        <v>24</v>
      </c>
      <c r="H16" s="187" t="e">
        <f>SUM(H17:H18)</f>
        <v>#VALUE!</v>
      </c>
    </row>
    <row r="17" spans="1:14" s="137" customFormat="1" ht="12.75">
      <c r="A17" s="188" t="s">
        <v>120</v>
      </c>
      <c r="B17" s="189" t="s">
        <v>138</v>
      </c>
      <c r="C17" s="89" t="s">
        <v>139</v>
      </c>
      <c r="D17" s="189" t="s">
        <v>13</v>
      </c>
      <c r="E17" s="218"/>
      <c r="F17" s="190">
        <f>2*1.125</f>
        <v>2.25</v>
      </c>
      <c r="G17" s="190" t="e">
        <f>ROUND((E17*$C$12)+E17,2)</f>
        <v>#VALUE!</v>
      </c>
      <c r="H17" s="154" t="e">
        <f>G17*F17</f>
        <v>#VALUE!</v>
      </c>
      <c r="J17" s="191"/>
      <c r="N17" s="191"/>
    </row>
    <row r="18" spans="1:14" s="192" customFormat="1" ht="33.75">
      <c r="A18" s="188" t="s">
        <v>121</v>
      </c>
      <c r="B18" s="189" t="s">
        <v>180</v>
      </c>
      <c r="C18" s="89" t="s">
        <v>149</v>
      </c>
      <c r="D18" s="189" t="s">
        <v>13</v>
      </c>
      <c r="E18" s="218"/>
      <c r="F18" s="190">
        <v>288</v>
      </c>
      <c r="G18" s="190" t="e">
        <f>ROUND((E18*$C$12)+E18,2)</f>
        <v>#VALUE!</v>
      </c>
      <c r="H18" s="154" t="e">
        <f>G18*F18</f>
        <v>#VALUE!</v>
      </c>
      <c r="J18" s="193"/>
      <c r="N18" s="193"/>
    </row>
    <row r="19" spans="1:10" ht="12.75">
      <c r="A19" s="182">
        <v>2</v>
      </c>
      <c r="B19" s="183"/>
      <c r="C19" s="183" t="s">
        <v>160</v>
      </c>
      <c r="D19" s="194"/>
      <c r="E19" s="195"/>
      <c r="F19" s="195"/>
      <c r="G19" s="186" t="s">
        <v>24</v>
      </c>
      <c r="H19" s="187" t="e">
        <f>SUM(H20:H22)</f>
        <v>#VALUE!</v>
      </c>
      <c r="J19" s="196"/>
    </row>
    <row r="20" spans="1:10" ht="22.5">
      <c r="A20" s="188" t="s">
        <v>122</v>
      </c>
      <c r="B20" s="197">
        <v>72961</v>
      </c>
      <c r="C20" s="89" t="s">
        <v>148</v>
      </c>
      <c r="D20" s="189" t="s">
        <v>13</v>
      </c>
      <c r="E20" s="218"/>
      <c r="F20" s="190">
        <f>20+14+3+5</f>
        <v>42</v>
      </c>
      <c r="G20" s="190" t="e">
        <f>ROUND((E20*$C$12)+E20,2)</f>
        <v>#VALUE!</v>
      </c>
      <c r="H20" s="154" t="e">
        <f>G20*F20</f>
        <v>#VALUE!</v>
      </c>
      <c r="J20" s="196"/>
    </row>
    <row r="21" spans="1:10" ht="33.75">
      <c r="A21" s="188" t="s">
        <v>124</v>
      </c>
      <c r="B21" s="197">
        <v>94107</v>
      </c>
      <c r="C21" s="89" t="s">
        <v>147</v>
      </c>
      <c r="D21" s="189" t="s">
        <v>123</v>
      </c>
      <c r="E21" s="218"/>
      <c r="F21" s="190">
        <f>(21+4+12+5)*0.04</f>
        <v>1.68</v>
      </c>
      <c r="G21" s="190" t="e">
        <f>ROUND((E21*$C$12)+E21,2)</f>
        <v>#VALUE!</v>
      </c>
      <c r="H21" s="154" t="e">
        <f>G21*F21</f>
        <v>#VALUE!</v>
      </c>
      <c r="J21" s="196"/>
    </row>
    <row r="22" spans="1:10" ht="33.75">
      <c r="A22" s="188" t="s">
        <v>170</v>
      </c>
      <c r="B22" s="197">
        <v>94990</v>
      </c>
      <c r="C22" s="89" t="s">
        <v>175</v>
      </c>
      <c r="D22" s="189" t="s">
        <v>123</v>
      </c>
      <c r="E22" s="218"/>
      <c r="F22" s="190">
        <f>(21+4+12+5)*0.06</f>
        <v>2.52</v>
      </c>
      <c r="G22" s="190" t="e">
        <f>ROUND((E22*$C$12)+E22,2)</f>
        <v>#VALUE!</v>
      </c>
      <c r="H22" s="154" t="e">
        <f>G22*F22</f>
        <v>#VALUE!</v>
      </c>
      <c r="J22" s="196"/>
    </row>
    <row r="23" spans="1:10" ht="12.75">
      <c r="A23" s="182">
        <v>3</v>
      </c>
      <c r="B23" s="183"/>
      <c r="C23" s="183" t="s">
        <v>159</v>
      </c>
      <c r="D23" s="194"/>
      <c r="E23" s="185"/>
      <c r="F23" s="185"/>
      <c r="G23" s="186" t="s">
        <v>24</v>
      </c>
      <c r="H23" s="187" t="e">
        <f>SUM(H24:H33)</f>
        <v>#VALUE!</v>
      </c>
      <c r="J23" s="196"/>
    </row>
    <row r="24" spans="1:8" ht="33.75">
      <c r="A24" s="188" t="s">
        <v>134</v>
      </c>
      <c r="B24" s="197">
        <v>98228</v>
      </c>
      <c r="C24" s="89" t="s">
        <v>177</v>
      </c>
      <c r="D24" s="189" t="s">
        <v>131</v>
      </c>
      <c r="E24" s="219"/>
      <c r="F24" s="190">
        <f>14*1</f>
        <v>14</v>
      </c>
      <c r="G24" s="190" t="e">
        <f aca="true" t="shared" si="0" ref="G24:G33">ROUND((E24*$C$12)+E24,2)</f>
        <v>#VALUE!</v>
      </c>
      <c r="H24" s="154" t="e">
        <f>G24*F24</f>
        <v>#VALUE!</v>
      </c>
    </row>
    <row r="25" spans="1:10" ht="22.5">
      <c r="A25" s="188" t="s">
        <v>125</v>
      </c>
      <c r="B25" s="197">
        <v>96526</v>
      </c>
      <c r="C25" s="89" t="s">
        <v>145</v>
      </c>
      <c r="D25" s="189" t="s">
        <v>123</v>
      </c>
      <c r="E25" s="218"/>
      <c r="F25" s="190">
        <f>(20*2+7*1.12)*0.14*0.3</f>
        <v>2.0092800000000004</v>
      </c>
      <c r="G25" s="190" t="e">
        <f t="shared" si="0"/>
        <v>#VALUE!</v>
      </c>
      <c r="H25" s="154" t="e">
        <f aca="true" t="shared" si="1" ref="H25:H33">G25*F25</f>
        <v>#VALUE!</v>
      </c>
      <c r="J25" s="196"/>
    </row>
    <row r="26" spans="1:10" ht="22.5">
      <c r="A26" s="188" t="s">
        <v>126</v>
      </c>
      <c r="B26" s="197">
        <v>95956</v>
      </c>
      <c r="C26" s="89" t="s">
        <v>174</v>
      </c>
      <c r="D26" s="189" t="s">
        <v>123</v>
      </c>
      <c r="E26" s="220"/>
      <c r="F26" s="198">
        <f>F25+20*0.14*0.14</f>
        <v>2.4012800000000003</v>
      </c>
      <c r="G26" s="190" t="e">
        <f t="shared" si="0"/>
        <v>#VALUE!</v>
      </c>
      <c r="H26" s="154" t="e">
        <f t="shared" si="1"/>
        <v>#VALUE!</v>
      </c>
      <c r="J26" s="196"/>
    </row>
    <row r="27" spans="1:10" ht="22.5">
      <c r="A27" s="188" t="s">
        <v>135</v>
      </c>
      <c r="B27" s="197" t="s">
        <v>204</v>
      </c>
      <c r="C27" s="89" t="s">
        <v>205</v>
      </c>
      <c r="D27" s="189" t="s">
        <v>13</v>
      </c>
      <c r="E27" s="219"/>
      <c r="F27" s="198">
        <f>(20*2+7*1.12)*0.3*2</f>
        <v>28.704</v>
      </c>
      <c r="G27" s="190" t="e">
        <f>ROUND((E27*$C$12)+E27,2)</f>
        <v>#VALUE!</v>
      </c>
      <c r="H27" s="154" t="e">
        <f>G27*F27</f>
        <v>#VALUE!</v>
      </c>
      <c r="J27" s="196"/>
    </row>
    <row r="28" spans="1:10" ht="45">
      <c r="A28" s="188" t="s">
        <v>151</v>
      </c>
      <c r="B28" s="197">
        <v>87455</v>
      </c>
      <c r="C28" s="89" t="s">
        <v>181</v>
      </c>
      <c r="D28" s="189" t="s">
        <v>13</v>
      </c>
      <c r="E28" s="219"/>
      <c r="F28" s="190">
        <f>20*(0.85+0.4+0.31)+0.592*7</f>
        <v>35.344</v>
      </c>
      <c r="G28" s="190" t="e">
        <f t="shared" si="0"/>
        <v>#VALUE!</v>
      </c>
      <c r="H28" s="154" t="e">
        <f t="shared" si="1"/>
        <v>#VALUE!</v>
      </c>
      <c r="J28" s="196"/>
    </row>
    <row r="29" spans="1:10" ht="22.5">
      <c r="A29" s="188" t="s">
        <v>152</v>
      </c>
      <c r="B29" s="197">
        <v>92799</v>
      </c>
      <c r="C29" s="89" t="s">
        <v>187</v>
      </c>
      <c r="D29" s="189" t="s">
        <v>137</v>
      </c>
      <c r="E29" s="219"/>
      <c r="F29" s="190">
        <f>0.5*2*5*6*2*0.109</f>
        <v>6.54</v>
      </c>
      <c r="G29" s="190" t="e">
        <f t="shared" si="0"/>
        <v>#VALUE!</v>
      </c>
      <c r="H29" s="154" t="e">
        <f t="shared" si="1"/>
        <v>#VALUE!</v>
      </c>
      <c r="J29" s="196"/>
    </row>
    <row r="30" spans="1:10" ht="12.75">
      <c r="A30" s="188" t="s">
        <v>153</v>
      </c>
      <c r="B30" s="197">
        <v>96995</v>
      </c>
      <c r="C30" s="89" t="s">
        <v>146</v>
      </c>
      <c r="D30" s="189" t="s">
        <v>123</v>
      </c>
      <c r="E30" s="219"/>
      <c r="F30" s="190">
        <f>3.55*0.4*6+1.01*0.45*6</f>
        <v>11.247</v>
      </c>
      <c r="G30" s="190" t="e">
        <f t="shared" si="0"/>
        <v>#VALUE!</v>
      </c>
      <c r="H30" s="154" t="e">
        <f t="shared" si="1"/>
        <v>#VALUE!</v>
      </c>
      <c r="J30" s="196"/>
    </row>
    <row r="31" spans="1:10" ht="33.75">
      <c r="A31" s="188" t="s">
        <v>154</v>
      </c>
      <c r="B31" s="197">
        <v>94990</v>
      </c>
      <c r="C31" s="89" t="s">
        <v>176</v>
      </c>
      <c r="D31" s="189" t="s">
        <v>123</v>
      </c>
      <c r="E31" s="218"/>
      <c r="F31" s="190">
        <f>1.4*20*0.05</f>
        <v>1.4000000000000001</v>
      </c>
      <c r="G31" s="190" t="e">
        <f t="shared" si="0"/>
        <v>#VALUE!</v>
      </c>
      <c r="H31" s="154" t="e">
        <f t="shared" si="1"/>
        <v>#VALUE!</v>
      </c>
      <c r="J31" s="196"/>
    </row>
    <row r="32" spans="1:10" ht="33.75">
      <c r="A32" s="188" t="s">
        <v>186</v>
      </c>
      <c r="B32" s="197">
        <v>87879</v>
      </c>
      <c r="C32" s="89" t="s">
        <v>182</v>
      </c>
      <c r="D32" s="189" t="s">
        <v>13</v>
      </c>
      <c r="E32" s="221"/>
      <c r="F32" s="190">
        <f>(0.8*0.45+0.6*0.9)*2+0.9*20*2</f>
        <v>37.8</v>
      </c>
      <c r="G32" s="190" t="e">
        <f t="shared" si="0"/>
        <v>#VALUE!</v>
      </c>
      <c r="H32" s="154" t="e">
        <f t="shared" si="1"/>
        <v>#VALUE!</v>
      </c>
      <c r="J32" s="196"/>
    </row>
    <row r="33" spans="1:10" ht="33.75">
      <c r="A33" s="188" t="s">
        <v>206</v>
      </c>
      <c r="B33" s="197">
        <v>89173</v>
      </c>
      <c r="C33" s="89" t="s">
        <v>183</v>
      </c>
      <c r="D33" s="189" t="s">
        <v>13</v>
      </c>
      <c r="E33" s="219"/>
      <c r="F33" s="190">
        <f>F32</f>
        <v>37.8</v>
      </c>
      <c r="G33" s="190" t="e">
        <f t="shared" si="0"/>
        <v>#VALUE!</v>
      </c>
      <c r="H33" s="154" t="e">
        <f t="shared" si="1"/>
        <v>#VALUE!</v>
      </c>
      <c r="J33" s="196"/>
    </row>
    <row r="34" spans="1:10" ht="12.75">
      <c r="A34" s="182">
        <v>4</v>
      </c>
      <c r="B34" s="183"/>
      <c r="C34" s="183" t="s">
        <v>195</v>
      </c>
      <c r="D34" s="194"/>
      <c r="E34" s="185"/>
      <c r="F34" s="185"/>
      <c r="G34" s="186" t="s">
        <v>24</v>
      </c>
      <c r="H34" s="187" t="e">
        <f>SUM(H35:H54)</f>
        <v>#VALUE!</v>
      </c>
      <c r="J34" s="196"/>
    </row>
    <row r="35" spans="1:10" ht="12.75">
      <c r="A35" s="188"/>
      <c r="B35" s="189"/>
      <c r="C35" s="92" t="s">
        <v>162</v>
      </c>
      <c r="D35" s="189"/>
      <c r="E35" s="190"/>
      <c r="F35" s="190"/>
      <c r="G35" s="190"/>
      <c r="H35" s="154"/>
      <c r="J35" s="196"/>
    </row>
    <row r="36" spans="1:10" ht="22.5">
      <c r="A36" s="188" t="s">
        <v>127</v>
      </c>
      <c r="B36" s="197">
        <v>96526</v>
      </c>
      <c r="C36" s="89" t="s">
        <v>145</v>
      </c>
      <c r="D36" s="189" t="s">
        <v>123</v>
      </c>
      <c r="E36" s="218"/>
      <c r="F36" s="190">
        <f>(20+20+12+12-14*0.25)*0.1*0.15</f>
        <v>0.9075000000000001</v>
      </c>
      <c r="G36" s="190" t="e">
        <f aca="true" t="shared" si="2" ref="G36:G53">ROUND((E36*$C$12)+E36,2)</f>
        <v>#VALUE!</v>
      </c>
      <c r="H36" s="154" t="e">
        <f aca="true" t="shared" si="3" ref="H36:H53">G36*F36</f>
        <v>#VALUE!</v>
      </c>
      <c r="J36" s="196"/>
    </row>
    <row r="37" spans="1:10" ht="26.25" customHeight="1">
      <c r="A37" s="188" t="s">
        <v>128</v>
      </c>
      <c r="B37" s="197">
        <v>96536</v>
      </c>
      <c r="C37" s="89" t="s">
        <v>143</v>
      </c>
      <c r="D37" s="189" t="s">
        <v>13</v>
      </c>
      <c r="E37" s="222"/>
      <c r="F37" s="190">
        <f>(20+20+12+12-14*0.25)*0.3*2</f>
        <v>36.3</v>
      </c>
      <c r="G37" s="190" t="e">
        <f t="shared" si="2"/>
        <v>#VALUE!</v>
      </c>
      <c r="H37" s="154" t="e">
        <f t="shared" si="3"/>
        <v>#VALUE!</v>
      </c>
      <c r="J37" s="196"/>
    </row>
    <row r="38" spans="1:10" ht="25.5" customHeight="1">
      <c r="A38" s="188" t="s">
        <v>130</v>
      </c>
      <c r="B38" s="197">
        <v>94970</v>
      </c>
      <c r="C38" s="89" t="s">
        <v>144</v>
      </c>
      <c r="D38" s="189" t="s">
        <v>123</v>
      </c>
      <c r="E38" s="218"/>
      <c r="F38" s="190">
        <f>(64-14*0.25)*0.15*0.3</f>
        <v>2.7224999999999997</v>
      </c>
      <c r="G38" s="190" t="e">
        <f t="shared" si="2"/>
        <v>#VALUE!</v>
      </c>
      <c r="H38" s="154" t="e">
        <f t="shared" si="3"/>
        <v>#VALUE!</v>
      </c>
      <c r="J38" s="196"/>
    </row>
    <row r="39" spans="1:10" ht="12.75" customHeight="1">
      <c r="A39" s="188"/>
      <c r="B39" s="197"/>
      <c r="C39" s="92" t="s">
        <v>200</v>
      </c>
      <c r="D39" s="189"/>
      <c r="E39" s="190"/>
      <c r="F39" s="190"/>
      <c r="G39" s="190"/>
      <c r="H39" s="154"/>
      <c r="J39" s="196"/>
    </row>
    <row r="40" spans="1:10" ht="22.5">
      <c r="A40" s="188" t="s">
        <v>136</v>
      </c>
      <c r="B40" s="189">
        <v>72961</v>
      </c>
      <c r="C40" s="89" t="s">
        <v>148</v>
      </c>
      <c r="D40" s="189" t="s">
        <v>13</v>
      </c>
      <c r="E40" s="222"/>
      <c r="F40" s="190">
        <f>12*20</f>
        <v>240</v>
      </c>
      <c r="G40" s="190" t="e">
        <f t="shared" si="2"/>
        <v>#VALUE!</v>
      </c>
      <c r="H40" s="154" t="e">
        <f t="shared" si="3"/>
        <v>#VALUE!</v>
      </c>
      <c r="J40" s="196"/>
    </row>
    <row r="41" spans="1:10" ht="12.75">
      <c r="A41" s="188" t="s">
        <v>155</v>
      </c>
      <c r="B41" s="197">
        <v>366</v>
      </c>
      <c r="C41" s="89" t="s">
        <v>194</v>
      </c>
      <c r="D41" s="189" t="s">
        <v>189</v>
      </c>
      <c r="E41" s="223"/>
      <c r="F41" s="190">
        <f>12*20*0.1</f>
        <v>24</v>
      </c>
      <c r="G41" s="190" t="e">
        <f t="shared" si="2"/>
        <v>#VALUE!</v>
      </c>
      <c r="H41" s="154" t="e">
        <f t="shared" si="3"/>
        <v>#VALUE!</v>
      </c>
      <c r="J41" s="196"/>
    </row>
    <row r="42" spans="1:10" ht="22.5">
      <c r="A42" s="188" t="s">
        <v>156</v>
      </c>
      <c r="B42" s="197">
        <v>97914</v>
      </c>
      <c r="C42" s="89" t="s">
        <v>192</v>
      </c>
      <c r="D42" s="189" t="s">
        <v>193</v>
      </c>
      <c r="E42" s="219"/>
      <c r="F42" s="190">
        <f>F41*5</f>
        <v>120</v>
      </c>
      <c r="G42" s="190" t="e">
        <f t="shared" si="2"/>
        <v>#VALUE!</v>
      </c>
      <c r="H42" s="154" t="e">
        <f t="shared" si="3"/>
        <v>#VALUE!</v>
      </c>
      <c r="J42" s="196"/>
    </row>
    <row r="43" spans="1:10" ht="12.75">
      <c r="A43" s="188" t="s">
        <v>178</v>
      </c>
      <c r="B43" s="197">
        <v>88316</v>
      </c>
      <c r="C43" s="89" t="s">
        <v>150</v>
      </c>
      <c r="D43" s="189" t="s">
        <v>140</v>
      </c>
      <c r="E43" s="219"/>
      <c r="F43" s="190">
        <v>4</v>
      </c>
      <c r="G43" s="190" t="e">
        <f t="shared" si="2"/>
        <v>#VALUE!</v>
      </c>
      <c r="H43" s="154" t="e">
        <f t="shared" si="3"/>
        <v>#VALUE!</v>
      </c>
      <c r="J43" s="196"/>
    </row>
    <row r="44" spans="1:10" ht="12.75">
      <c r="A44" s="188"/>
      <c r="B44" s="189"/>
      <c r="C44" s="92" t="s">
        <v>161</v>
      </c>
      <c r="D44" s="189"/>
      <c r="E44" s="190"/>
      <c r="F44" s="190"/>
      <c r="G44" s="190"/>
      <c r="H44" s="154"/>
      <c r="J44" s="196"/>
    </row>
    <row r="45" spans="1:10" ht="22.5">
      <c r="A45" s="188" t="s">
        <v>157</v>
      </c>
      <c r="B45" s="189" t="s">
        <v>165</v>
      </c>
      <c r="C45" s="89" t="s">
        <v>173</v>
      </c>
      <c r="D45" s="189" t="s">
        <v>129</v>
      </c>
      <c r="E45" s="218"/>
      <c r="F45" s="190">
        <v>14</v>
      </c>
      <c r="G45" s="190" t="e">
        <f t="shared" si="2"/>
        <v>#VALUE!</v>
      </c>
      <c r="H45" s="154" t="e">
        <f t="shared" si="3"/>
        <v>#VALUE!</v>
      </c>
      <c r="J45" s="196"/>
    </row>
    <row r="46" spans="1:10" ht="12.75">
      <c r="A46" s="188" t="s">
        <v>164</v>
      </c>
      <c r="B46" s="197">
        <v>5038</v>
      </c>
      <c r="C46" s="89" t="s">
        <v>184</v>
      </c>
      <c r="D46" s="189" t="s">
        <v>168</v>
      </c>
      <c r="E46" s="219"/>
      <c r="F46" s="190">
        <v>14</v>
      </c>
      <c r="G46" s="190" t="e">
        <f t="shared" si="2"/>
        <v>#VALUE!</v>
      </c>
      <c r="H46" s="154" t="e">
        <f t="shared" si="3"/>
        <v>#VALUE!</v>
      </c>
      <c r="J46" s="196"/>
    </row>
    <row r="47" spans="1:10" ht="22.5">
      <c r="A47" s="188" t="s">
        <v>179</v>
      </c>
      <c r="B47" s="189" t="s">
        <v>166</v>
      </c>
      <c r="C47" s="89" t="s">
        <v>163</v>
      </c>
      <c r="D47" s="189" t="s">
        <v>13</v>
      </c>
      <c r="E47" s="222"/>
      <c r="F47" s="190">
        <f>(64*6)-F48</f>
        <v>379.4</v>
      </c>
      <c r="G47" s="190" t="e">
        <f t="shared" si="2"/>
        <v>#VALUE!</v>
      </c>
      <c r="H47" s="154" t="e">
        <f t="shared" si="3"/>
        <v>#VALUE!</v>
      </c>
      <c r="I47" s="200"/>
      <c r="J47" s="201"/>
    </row>
    <row r="48" spans="1:10" ht="22.5">
      <c r="A48" s="188" t="s">
        <v>169</v>
      </c>
      <c r="B48" s="189" t="s">
        <v>141</v>
      </c>
      <c r="C48" s="89" t="s">
        <v>142</v>
      </c>
      <c r="D48" s="189" t="s">
        <v>13</v>
      </c>
      <c r="E48" s="221"/>
      <c r="F48" s="190">
        <f>2*2.3</f>
        <v>4.6</v>
      </c>
      <c r="G48" s="190" t="e">
        <f t="shared" si="2"/>
        <v>#VALUE!</v>
      </c>
      <c r="H48" s="154" t="e">
        <f t="shared" si="3"/>
        <v>#VALUE!</v>
      </c>
      <c r="J48" s="196"/>
    </row>
    <row r="49" spans="1:10" ht="12.75">
      <c r="A49" s="188"/>
      <c r="B49" s="189"/>
      <c r="C49" s="92" t="s">
        <v>201</v>
      </c>
      <c r="D49" s="189"/>
      <c r="E49" s="199"/>
      <c r="F49" s="190"/>
      <c r="G49" s="190"/>
      <c r="H49" s="154"/>
      <c r="J49" s="196"/>
    </row>
    <row r="50" spans="1:10" ht="33.75">
      <c r="A50" s="188" t="s">
        <v>190</v>
      </c>
      <c r="B50" s="197">
        <v>84402</v>
      </c>
      <c r="C50" s="89" t="s">
        <v>203</v>
      </c>
      <c r="D50" s="189" t="s">
        <v>129</v>
      </c>
      <c r="E50" s="221"/>
      <c r="F50" s="190">
        <v>1</v>
      </c>
      <c r="G50" s="190" t="e">
        <f t="shared" si="2"/>
        <v>#VALUE!</v>
      </c>
      <c r="H50" s="154" t="e">
        <f t="shared" si="3"/>
        <v>#VALUE!</v>
      </c>
      <c r="J50" s="196"/>
    </row>
    <row r="51" spans="1:10" ht="22.5">
      <c r="A51" s="188" t="s">
        <v>191</v>
      </c>
      <c r="B51" s="197">
        <v>91844</v>
      </c>
      <c r="C51" s="89" t="s">
        <v>188</v>
      </c>
      <c r="D51" s="189" t="s">
        <v>131</v>
      </c>
      <c r="E51" s="224"/>
      <c r="F51" s="190">
        <v>40</v>
      </c>
      <c r="G51" s="190" t="e">
        <f t="shared" si="2"/>
        <v>#VALUE!</v>
      </c>
      <c r="H51" s="154" t="e">
        <f t="shared" si="3"/>
        <v>#VALUE!</v>
      </c>
      <c r="J51" s="196"/>
    </row>
    <row r="52" spans="1:10" ht="22.5">
      <c r="A52" s="188" t="s">
        <v>196</v>
      </c>
      <c r="B52" s="197">
        <v>91870</v>
      </c>
      <c r="C52" s="89" t="s">
        <v>202</v>
      </c>
      <c r="D52" s="189" t="s">
        <v>131</v>
      </c>
      <c r="E52" s="221"/>
      <c r="F52" s="190">
        <v>30</v>
      </c>
      <c r="G52" s="190" t="e">
        <f t="shared" si="2"/>
        <v>#VALUE!</v>
      </c>
      <c r="H52" s="154" t="e">
        <f t="shared" si="3"/>
        <v>#VALUE!</v>
      </c>
      <c r="J52" s="196"/>
    </row>
    <row r="53" spans="1:10" ht="22.5">
      <c r="A53" s="188" t="s">
        <v>198</v>
      </c>
      <c r="B53" s="197">
        <v>83446</v>
      </c>
      <c r="C53" s="89" t="s">
        <v>197</v>
      </c>
      <c r="D53" s="189" t="s">
        <v>129</v>
      </c>
      <c r="E53" s="221"/>
      <c r="F53" s="190">
        <v>5</v>
      </c>
      <c r="G53" s="190" t="e">
        <f t="shared" si="2"/>
        <v>#VALUE!</v>
      </c>
      <c r="H53" s="154" t="e">
        <f t="shared" si="3"/>
        <v>#VALUE!</v>
      </c>
      <c r="J53" s="196"/>
    </row>
    <row r="54" spans="1:10" ht="22.5">
      <c r="A54" s="188" t="s">
        <v>199</v>
      </c>
      <c r="B54" s="189" t="s">
        <v>171</v>
      </c>
      <c r="C54" s="89" t="s">
        <v>172</v>
      </c>
      <c r="D54" s="189" t="s">
        <v>168</v>
      </c>
      <c r="E54" s="218"/>
      <c r="F54" s="190">
        <v>12</v>
      </c>
      <c r="G54" s="190" t="e">
        <f>ROUND((E54*$C$12)+E54,2)</f>
        <v>#VALUE!</v>
      </c>
      <c r="H54" s="154" t="e">
        <f>G54*F54</f>
        <v>#VALUE!</v>
      </c>
      <c r="I54" s="137"/>
      <c r="J54" s="196"/>
    </row>
    <row r="55" spans="1:10" ht="12.75">
      <c r="A55" s="182">
        <v>5</v>
      </c>
      <c r="B55" s="183"/>
      <c r="C55" s="183" t="s">
        <v>207</v>
      </c>
      <c r="D55" s="194"/>
      <c r="E55" s="185"/>
      <c r="F55" s="185"/>
      <c r="G55" s="186" t="s">
        <v>24</v>
      </c>
      <c r="H55" s="187" t="e">
        <f>SUM(H56:H57)</f>
        <v>#VALUE!</v>
      </c>
      <c r="J55" s="196"/>
    </row>
    <row r="56" spans="1:10" ht="12.75">
      <c r="A56" s="188" t="s">
        <v>208</v>
      </c>
      <c r="B56" s="197">
        <v>88485</v>
      </c>
      <c r="C56" s="89" t="s">
        <v>210</v>
      </c>
      <c r="D56" s="189" t="s">
        <v>13</v>
      </c>
      <c r="E56" s="221"/>
      <c r="F56" s="190">
        <f>14*(2*(0.2+0.25)*7)+F32+(20+20+12+12-14*0.25)*0.45</f>
        <v>153.225</v>
      </c>
      <c r="G56" s="190" t="e">
        <f>ROUND((E56*$C$12)+E56,2)</f>
        <v>#VALUE!</v>
      </c>
      <c r="H56" s="154" t="e">
        <f>G56*F56</f>
        <v>#VALUE!</v>
      </c>
      <c r="J56" s="196"/>
    </row>
    <row r="57" spans="1:10" ht="22.5">
      <c r="A57" s="188" t="s">
        <v>209</v>
      </c>
      <c r="B57" s="197">
        <v>88489</v>
      </c>
      <c r="C57" s="89" t="s">
        <v>211</v>
      </c>
      <c r="D57" s="189" t="s">
        <v>13</v>
      </c>
      <c r="E57" s="221"/>
      <c r="F57" s="190">
        <f>F56</f>
        <v>153.225</v>
      </c>
      <c r="G57" s="190" t="e">
        <f>ROUND((E57*$C$12)+E57,2)</f>
        <v>#VALUE!</v>
      </c>
      <c r="H57" s="154" t="e">
        <f>G57*F57</f>
        <v>#VALUE!</v>
      </c>
      <c r="J57" s="196"/>
    </row>
    <row r="58" spans="1:8" ht="12.75" hidden="1">
      <c r="A58" s="188" t="s">
        <v>179</v>
      </c>
      <c r="B58" s="202"/>
      <c r="C58" s="89"/>
      <c r="D58" s="203"/>
      <c r="E58" s="198"/>
      <c r="F58" s="204"/>
      <c r="G58" s="198"/>
      <c r="H58" s="154"/>
    </row>
    <row r="59" spans="1:8" ht="12.75" hidden="1">
      <c r="A59" s="188" t="s">
        <v>169</v>
      </c>
      <c r="B59" s="205"/>
      <c r="C59" s="90"/>
      <c r="D59" s="206"/>
      <c r="E59" s="207"/>
      <c r="F59" s="208"/>
      <c r="G59" s="207"/>
      <c r="H59" s="156"/>
    </row>
    <row r="60" spans="1:9" ht="12.75">
      <c r="A60" s="291" t="s">
        <v>78</v>
      </c>
      <c r="B60" s="291"/>
      <c r="C60" s="291"/>
      <c r="D60" s="291"/>
      <c r="E60" s="291"/>
      <c r="F60" s="291"/>
      <c r="G60" s="291"/>
      <c r="H60" s="187" t="e">
        <f>H62/(1+C12)</f>
        <v>#VALUE!</v>
      </c>
      <c r="I60" s="209"/>
    </row>
    <row r="61" spans="1:9" ht="12.75">
      <c r="A61" s="291" t="s">
        <v>81</v>
      </c>
      <c r="B61" s="291"/>
      <c r="C61" s="291"/>
      <c r="D61" s="291"/>
      <c r="E61" s="291"/>
      <c r="F61" s="291"/>
      <c r="G61" s="291"/>
      <c r="H61" s="187" t="e">
        <f>H62-H60</f>
        <v>#VALUE!</v>
      </c>
      <c r="I61" s="210"/>
    </row>
    <row r="62" spans="1:8" ht="12.75">
      <c r="A62" s="291" t="s">
        <v>79</v>
      </c>
      <c r="B62" s="291"/>
      <c r="C62" s="291"/>
      <c r="D62" s="291"/>
      <c r="E62" s="291"/>
      <c r="F62" s="291"/>
      <c r="G62" s="291"/>
      <c r="H62" s="211" t="e">
        <f>H16+H19+H23+H34+H55</f>
        <v>#VALUE!</v>
      </c>
    </row>
    <row r="63" spans="1:8" ht="12.75">
      <c r="A63" s="145"/>
      <c r="B63" s="145"/>
      <c r="C63" s="145"/>
      <c r="D63" s="212"/>
      <c r="E63" s="145"/>
      <c r="F63" s="213"/>
      <c r="G63" s="145"/>
      <c r="H63" s="145"/>
    </row>
    <row r="64" spans="1:8" ht="12.75">
      <c r="A64" s="145"/>
      <c r="B64" s="145"/>
      <c r="C64" s="145"/>
      <c r="D64" s="212"/>
      <c r="E64" s="145"/>
      <c r="F64" s="213"/>
      <c r="G64" s="145"/>
      <c r="H64" s="145"/>
    </row>
    <row r="65" spans="1:8" ht="12.75">
      <c r="A65" s="145"/>
      <c r="B65" s="145"/>
      <c r="C65" s="145"/>
      <c r="D65" s="212"/>
      <c r="E65" s="145"/>
      <c r="F65" s="213"/>
      <c r="G65" s="145"/>
      <c r="H65" s="145"/>
    </row>
    <row r="66" spans="1:8" ht="12.75">
      <c r="A66" s="145"/>
      <c r="B66" s="145"/>
      <c r="C66" s="145"/>
      <c r="D66" s="212"/>
      <c r="E66" s="145"/>
      <c r="F66" s="213"/>
      <c r="G66" s="145"/>
      <c r="H66" s="145"/>
    </row>
    <row r="67" spans="1:8" ht="12.75">
      <c r="A67" s="145"/>
      <c r="B67" s="145"/>
      <c r="C67" s="214"/>
      <c r="D67" s="212"/>
      <c r="E67" s="145"/>
      <c r="F67" s="213"/>
      <c r="G67" s="145"/>
      <c r="H67" s="145"/>
    </row>
    <row r="68" spans="1:8" ht="12.75">
      <c r="A68" s="145"/>
      <c r="B68" s="145"/>
      <c r="C68" s="145"/>
      <c r="D68" s="125" t="s">
        <v>116</v>
      </c>
      <c r="E68" s="158" t="str">
        <f>'P. BDI'!C42</f>
        <v>.</v>
      </c>
      <c r="F68" s="213"/>
      <c r="G68" s="145"/>
      <c r="H68" s="145"/>
    </row>
    <row r="69" spans="1:8" ht="12.75">
      <c r="A69" s="145"/>
      <c r="B69" s="145"/>
      <c r="C69" s="145"/>
      <c r="D69" s="215" t="s">
        <v>118</v>
      </c>
      <c r="E69" s="158" t="str">
        <f>'P. BDI'!C43</f>
        <v>.</v>
      </c>
      <c r="F69" s="213"/>
      <c r="G69" s="145"/>
      <c r="H69" s="145"/>
    </row>
    <row r="70" spans="1:8" ht="12.75">
      <c r="A70" s="145"/>
      <c r="B70" s="145"/>
      <c r="C70" s="145"/>
      <c r="D70" s="215"/>
      <c r="E70" s="86"/>
      <c r="F70" s="213"/>
      <c r="G70" s="145"/>
      <c r="H70" s="145"/>
    </row>
    <row r="71" spans="1:8" ht="12.75">
      <c r="A71" s="145"/>
      <c r="B71" s="145"/>
      <c r="C71" s="145"/>
      <c r="D71" s="216"/>
      <c r="E71" s="145"/>
      <c r="F71" s="213"/>
      <c r="G71" s="145"/>
      <c r="H71" s="145"/>
    </row>
    <row r="72" spans="1:8" ht="12.75">
      <c r="A72" s="145"/>
      <c r="B72" s="145"/>
      <c r="C72" s="145"/>
      <c r="D72" s="216"/>
      <c r="E72" s="145"/>
      <c r="F72" s="213"/>
      <c r="G72" s="145"/>
      <c r="H72" s="145"/>
    </row>
    <row r="73" spans="1:8" ht="12.75">
      <c r="A73" s="145"/>
      <c r="B73" s="145"/>
      <c r="C73" s="145"/>
      <c r="D73" s="216"/>
      <c r="E73" s="145"/>
      <c r="F73" s="213"/>
      <c r="G73" s="145"/>
      <c r="H73" s="145"/>
    </row>
    <row r="74" spans="1:8" ht="12.75">
      <c r="A74" s="145"/>
      <c r="B74" s="145"/>
      <c r="C74" s="145"/>
      <c r="D74" s="217"/>
      <c r="E74" s="100"/>
      <c r="F74" s="213"/>
      <c r="G74" s="145"/>
      <c r="H74" s="145"/>
    </row>
    <row r="75" spans="1:8" ht="12.75">
      <c r="A75" s="145"/>
      <c r="B75" s="145"/>
      <c r="C75" s="159"/>
      <c r="D75" s="215" t="s">
        <v>117</v>
      </c>
      <c r="E75" s="158" t="str">
        <f>'P. BDI'!C49</f>
        <v>.</v>
      </c>
      <c r="F75" s="213"/>
      <c r="G75" s="145"/>
      <c r="H75" s="145"/>
    </row>
    <row r="76" spans="1:8" ht="12.75">
      <c r="A76" s="145"/>
      <c r="B76" s="145"/>
      <c r="C76" s="145"/>
      <c r="D76" s="215" t="s">
        <v>61</v>
      </c>
      <c r="E76" s="158" t="str">
        <f>'P. BDI'!C50</f>
        <v>.</v>
      </c>
      <c r="F76" s="213"/>
      <c r="G76" s="145"/>
      <c r="H76" s="145"/>
    </row>
  </sheetData>
  <sheetProtection password="C637" sheet="1" selectLockedCells="1"/>
  <mergeCells count="16">
    <mergeCell ref="A60:G60"/>
    <mergeCell ref="A61:G61"/>
    <mergeCell ref="A62:G62"/>
    <mergeCell ref="A7:B7"/>
    <mergeCell ref="A8:B8"/>
    <mergeCell ref="A9:B9"/>
    <mergeCell ref="A10:B10"/>
    <mergeCell ref="A11:B11"/>
    <mergeCell ref="A12:B12"/>
    <mergeCell ref="A2:H3"/>
    <mergeCell ref="A5:B5"/>
    <mergeCell ref="D5:E5"/>
    <mergeCell ref="F5:G5"/>
    <mergeCell ref="A6:B6"/>
    <mergeCell ref="D6:E6"/>
    <mergeCell ref="F6:G6"/>
  </mergeCells>
  <conditionalFormatting sqref="C30 C44 C24 C22 C33 C35 C40 C48:C54 C56:C59">
    <cfRule type="expression" priority="148" dxfId="85" stopIfTrue="1">
      <formula>$J22=1</formula>
    </cfRule>
    <cfRule type="expression" priority="149" dxfId="86" stopIfTrue="1">
      <formula>$K22=2</formula>
    </cfRule>
    <cfRule type="expression" priority="150" dxfId="87" stopIfTrue="1">
      <formula>$K22=3</formula>
    </cfRule>
  </conditionalFormatting>
  <conditionalFormatting sqref="C17">
    <cfRule type="expression" priority="112" dxfId="85" stopIfTrue="1">
      <formula>$J17=1</formula>
    </cfRule>
    <cfRule type="expression" priority="113" dxfId="86" stopIfTrue="1">
      <formula>$K17=2</formula>
    </cfRule>
    <cfRule type="expression" priority="114" dxfId="87" stopIfTrue="1">
      <formula>$K17=3</formula>
    </cfRule>
  </conditionalFormatting>
  <conditionalFormatting sqref="C28:C29">
    <cfRule type="expression" priority="94" dxfId="85" stopIfTrue="1">
      <formula>$J28=1</formula>
    </cfRule>
    <cfRule type="expression" priority="95" dxfId="86" stopIfTrue="1">
      <formula>$K28=2</formula>
    </cfRule>
    <cfRule type="expression" priority="96" dxfId="87" stopIfTrue="1">
      <formula>$K28=3</formula>
    </cfRule>
  </conditionalFormatting>
  <conditionalFormatting sqref="C32">
    <cfRule type="expression" priority="88" dxfId="85" stopIfTrue="1">
      <formula>$J32=1</formula>
    </cfRule>
    <cfRule type="expression" priority="89" dxfId="86" stopIfTrue="1">
      <formula>$K32=2</formula>
    </cfRule>
    <cfRule type="expression" priority="90" dxfId="87" stopIfTrue="1">
      <formula>$K32=3</formula>
    </cfRule>
  </conditionalFormatting>
  <conditionalFormatting sqref="C26:C27">
    <cfRule type="expression" priority="76" dxfId="85" stopIfTrue="1">
      <formula>$J26=1</formula>
    </cfRule>
    <cfRule type="expression" priority="77" dxfId="86" stopIfTrue="1">
      <formula>$K26=2</formula>
    </cfRule>
    <cfRule type="expression" priority="78" dxfId="87" stopIfTrue="1">
      <formula>$K26=3</formula>
    </cfRule>
  </conditionalFormatting>
  <conditionalFormatting sqref="C20">
    <cfRule type="expression" priority="73" dxfId="85" stopIfTrue="1">
      <formula>$J20=1</formula>
    </cfRule>
    <cfRule type="expression" priority="74" dxfId="86" stopIfTrue="1">
      <formula>$K20=2</formula>
    </cfRule>
    <cfRule type="expression" priority="75" dxfId="87" stopIfTrue="1">
      <formula>$K20=3</formula>
    </cfRule>
  </conditionalFormatting>
  <conditionalFormatting sqref="C36">
    <cfRule type="expression" priority="70" dxfId="85" stopIfTrue="1">
      <formula>$J36=1</formula>
    </cfRule>
    <cfRule type="expression" priority="71" dxfId="86" stopIfTrue="1">
      <formula>$K36=2</formula>
    </cfRule>
    <cfRule type="expression" priority="72" dxfId="87" stopIfTrue="1">
      <formula>$K36=3</formula>
    </cfRule>
  </conditionalFormatting>
  <conditionalFormatting sqref="C37">
    <cfRule type="expression" priority="58" dxfId="85" stopIfTrue="1">
      <formula>$J37=1</formula>
    </cfRule>
    <cfRule type="expression" priority="59" dxfId="86" stopIfTrue="1">
      <formula>$K37=2</formula>
    </cfRule>
    <cfRule type="expression" priority="60" dxfId="87" stopIfTrue="1">
      <formula>$K37=3</formula>
    </cfRule>
  </conditionalFormatting>
  <conditionalFormatting sqref="C18">
    <cfRule type="expression" priority="61" dxfId="85" stopIfTrue="1">
      <formula>$J18=1</formula>
    </cfRule>
    <cfRule type="expression" priority="62" dxfId="86" stopIfTrue="1">
      <formula>$K18=2</formula>
    </cfRule>
    <cfRule type="expression" priority="63" dxfId="87" stopIfTrue="1">
      <formula>$K18=3</formula>
    </cfRule>
  </conditionalFormatting>
  <conditionalFormatting sqref="C38:C39 C41:C43">
    <cfRule type="expression" priority="55" dxfId="85" stopIfTrue="1">
      <formula>$J38=1</formula>
    </cfRule>
    <cfRule type="expression" priority="56" dxfId="86" stopIfTrue="1">
      <formula>$K38=2</formula>
    </cfRule>
    <cfRule type="expression" priority="57" dxfId="87" stopIfTrue="1">
      <formula>$K38=3</formula>
    </cfRule>
  </conditionalFormatting>
  <conditionalFormatting sqref="C45">
    <cfRule type="expression" priority="47" dxfId="85" stopIfTrue="1">
      <formula>$J45=1</formula>
    </cfRule>
    <cfRule type="expression" priority="48" dxfId="86" stopIfTrue="1">
      <formula>$K45=2</formula>
    </cfRule>
    <cfRule type="expression" priority="49" dxfId="87" stopIfTrue="1">
      <formula>$K45=3</formula>
    </cfRule>
  </conditionalFormatting>
  <conditionalFormatting sqref="C47">
    <cfRule type="expression" priority="34" dxfId="85" stopIfTrue="1">
      <formula>$J47=1</formula>
    </cfRule>
    <cfRule type="expression" priority="35" dxfId="86" stopIfTrue="1">
      <formula>$K47=2</formula>
    </cfRule>
    <cfRule type="expression" priority="36" dxfId="87" stopIfTrue="1">
      <formula>$K47=3</formula>
    </cfRule>
  </conditionalFormatting>
  <conditionalFormatting sqref="C46">
    <cfRule type="expression" priority="22" dxfId="85" stopIfTrue="1">
      <formula>$J46=1</formula>
    </cfRule>
    <cfRule type="expression" priority="23" dxfId="86" stopIfTrue="1">
      <formula>$K46=2</formula>
    </cfRule>
    <cfRule type="expression" priority="24" dxfId="87" stopIfTrue="1">
      <formula>$K46=3</formula>
    </cfRule>
  </conditionalFormatting>
  <conditionalFormatting sqref="C21">
    <cfRule type="expression" priority="13" dxfId="85" stopIfTrue="1">
      <formula>$J21=1</formula>
    </cfRule>
    <cfRule type="expression" priority="14" dxfId="86" stopIfTrue="1">
      <formula>$K21=2</formula>
    </cfRule>
    <cfRule type="expression" priority="15" dxfId="87" stopIfTrue="1">
      <formula>$K21=3</formula>
    </cfRule>
  </conditionalFormatting>
  <conditionalFormatting sqref="C25">
    <cfRule type="expression" priority="10" dxfId="85" stopIfTrue="1">
      <formula>$J25=1</formula>
    </cfRule>
    <cfRule type="expression" priority="11" dxfId="86" stopIfTrue="1">
      <formula>$K25=2</formula>
    </cfRule>
    <cfRule type="expression" priority="12" dxfId="87" stopIfTrue="1">
      <formula>$K25=3</formula>
    </cfRule>
  </conditionalFormatting>
  <conditionalFormatting sqref="C31">
    <cfRule type="expression" priority="1" dxfId="85" stopIfTrue="1">
      <formula>$J31=1</formula>
    </cfRule>
    <cfRule type="expression" priority="2" dxfId="86" stopIfTrue="1">
      <formula>$K31=2</formula>
    </cfRule>
    <cfRule type="expression" priority="3" dxfId="87" stopIfTrue="1">
      <formula>$K31=3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portrait" paperSize="9" scale="56" r:id="rId1"/>
  <ignoredErrors>
    <ignoredError sqref="F6 C5:C12" unlockedFormula="1"/>
    <ignoredError sqref="H19 H23 F26 H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RAUL ZANELLA</cp:lastModifiedBy>
  <cp:lastPrinted>2019-03-29T12:10:38Z</cp:lastPrinted>
  <dcterms:created xsi:type="dcterms:W3CDTF">2006-10-10T19:21:35Z</dcterms:created>
  <dcterms:modified xsi:type="dcterms:W3CDTF">2019-05-03T17:57:39Z</dcterms:modified>
  <cp:category/>
  <cp:version/>
  <cp:contentType/>
  <cp:contentStatus/>
</cp:coreProperties>
</file>